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1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kitchell\Downloads\"/>
    </mc:Choice>
  </mc:AlternateContent>
  <xr:revisionPtr revIDLastSave="16" documentId="11_4E3FCB6D37AC3ED83B061C7D73E5322EF15D6925" xr6:coauthVersionLast="47" xr6:coauthVersionMax="47" xr10:uidLastSave="{992D4B3C-C57E-4631-9496-2D32C751BA12}"/>
  <bookViews>
    <workbookView xWindow="0" yWindow="0" windowWidth="16350" windowHeight="6150" tabRatio="829" xr2:uid="{00000000-000D-0000-FFFF-FFFF00000000}"/>
  </bookViews>
  <sheets>
    <sheet name="List" sheetId="1" r:id="rId1"/>
    <sheet name="SCC 2.354" sheetId="16" r:id="rId2"/>
    <sheet name="VSCC 2.946 " sheetId="2" r:id="rId3"/>
    <sheet name="SCC 0.695" sheetId="14" r:id="rId4"/>
    <sheet name="SCC 1.062" sheetId="9" r:id="rId5"/>
    <sheet name="SCC 1.829" sheetId="4" r:id="rId6"/>
    <sheet name="SCC 2.654" sheetId="6" r:id="rId7"/>
    <sheet name="SCC 2.229" sheetId="5" r:id="rId8"/>
    <sheet name="SCC 3.495" sheetId="7" r:id="rId9"/>
    <sheet name="GK 2.05" sheetId="3" r:id="rId10"/>
    <sheet name="GK 2.05 SH" sheetId="10" r:id="rId11"/>
    <sheet name="GK 2.69" sheetId="8" r:id="rId12"/>
    <sheet name="GK 4.162" sheetId="15" r:id="rId13"/>
    <sheet name="SCC 0.732" sheetId="11" r:id="rId14"/>
    <sheet name="SCC 1.197" sheetId="12" r:id="rId15"/>
    <sheet name="H-D" sheetId="13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13">'SCC 0.732'!$A$1:$N$42</definedName>
    <definedName name="_xlnm.Print_Area" localSheetId="14">'SCC 1.197'!$A$1:$N$44</definedName>
    <definedName name="_xlnm.Print_Area" localSheetId="7">'SCC 2.229'!$A$1:$M$48</definedName>
    <definedName name="_xlnm.Print_Area" localSheetId="8">'SCC 3.495'!$A$1:$M$50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6" l="1"/>
  <c r="F55" i="16"/>
  <c r="D55" i="16"/>
  <c r="F54" i="16"/>
  <c r="D54" i="16"/>
  <c r="F53" i="16"/>
  <c r="D53" i="16"/>
  <c r="F49" i="16"/>
  <c r="D49" i="16"/>
  <c r="F48" i="16"/>
  <c r="D48" i="16"/>
  <c r="F47" i="16"/>
  <c r="D47" i="16"/>
  <c r="F46" i="16"/>
  <c r="D46" i="16"/>
  <c r="F45" i="16"/>
  <c r="D45" i="16"/>
  <c r="F44" i="16"/>
  <c r="D44" i="16"/>
  <c r="F43" i="16"/>
  <c r="D43" i="16"/>
  <c r="F42" i="16"/>
  <c r="D42" i="16"/>
  <c r="F41" i="16"/>
  <c r="D41" i="16"/>
  <c r="F32" i="16"/>
  <c r="B50" i="15" l="1"/>
  <c r="F44" i="15"/>
  <c r="D44" i="15"/>
  <c r="F43" i="15"/>
  <c r="D43" i="15"/>
  <c r="F42" i="15"/>
  <c r="D42" i="15"/>
  <c r="F41" i="15"/>
  <c r="D41" i="15"/>
  <c r="F40" i="15"/>
  <c r="D40" i="15"/>
  <c r="B22" i="15"/>
  <c r="F34" i="14"/>
  <c r="F46" i="14"/>
  <c r="D46" i="14"/>
  <c r="F45" i="14"/>
  <c r="D45" i="14"/>
  <c r="F44" i="14"/>
  <c r="D44" i="14"/>
  <c r="F43" i="14"/>
  <c r="D43" i="14"/>
  <c r="F42" i="14"/>
  <c r="D42" i="14"/>
  <c r="B26" i="14"/>
  <c r="B6" i="13"/>
  <c r="B7" i="13"/>
  <c r="B8" i="13"/>
  <c r="B9" i="13"/>
  <c r="B10" i="13"/>
  <c r="B11" i="13"/>
  <c r="B12" i="13"/>
  <c r="B13" i="13"/>
  <c r="B14" i="13"/>
  <c r="B15" i="13"/>
  <c r="C27" i="13"/>
  <c r="F33" i="13"/>
  <c r="D40" i="13"/>
  <c r="F40" i="13"/>
  <c r="D41" i="13"/>
  <c r="F41" i="13"/>
  <c r="D42" i="13"/>
  <c r="F42" i="13"/>
  <c r="D46" i="13"/>
  <c r="F46" i="13"/>
  <c r="D47" i="13"/>
  <c r="F47" i="13"/>
  <c r="D48" i="13"/>
  <c r="F48" i="13"/>
  <c r="D49" i="13"/>
  <c r="F49" i="13"/>
  <c r="B15" i="12"/>
  <c r="F24" i="12"/>
  <c r="D31" i="12"/>
  <c r="F31" i="12"/>
  <c r="D32" i="12"/>
  <c r="F32" i="12"/>
  <c r="D33" i="12"/>
  <c r="F33" i="12"/>
  <c r="D34" i="12"/>
  <c r="F34" i="12"/>
  <c r="B15" i="11"/>
  <c r="F24" i="11"/>
  <c r="D31" i="11"/>
  <c r="F31" i="11"/>
  <c r="D37" i="11"/>
  <c r="F37" i="11"/>
  <c r="D38" i="11"/>
  <c r="F38" i="11"/>
  <c r="D39" i="11"/>
  <c r="F39" i="11"/>
  <c r="B24" i="8"/>
  <c r="F32" i="8"/>
  <c r="D39" i="8"/>
  <c r="F39" i="8"/>
  <c r="F40" i="8"/>
  <c r="D41" i="8"/>
  <c r="F41" i="8"/>
  <c r="D42" i="8"/>
  <c r="F42" i="8"/>
  <c r="D43" i="8"/>
  <c r="F43" i="8"/>
  <c r="D44" i="8"/>
  <c r="F44" i="8"/>
  <c r="D45" i="8"/>
  <c r="F45" i="8"/>
  <c r="D48" i="8"/>
  <c r="F48" i="8"/>
  <c r="D49" i="8"/>
  <c r="F49" i="8"/>
  <c r="D50" i="8"/>
  <c r="F50" i="8"/>
  <c r="D51" i="8"/>
  <c r="F51" i="8"/>
  <c r="D52" i="8"/>
  <c r="F52" i="8"/>
  <c r="B22" i="10"/>
  <c r="F30" i="10"/>
  <c r="D37" i="10"/>
  <c r="F37" i="10"/>
  <c r="D38" i="10"/>
  <c r="F38" i="10"/>
  <c r="D39" i="10"/>
  <c r="F39" i="10"/>
  <c r="D40" i="10"/>
  <c r="F40" i="10"/>
  <c r="D41" i="10"/>
  <c r="F41" i="10"/>
  <c r="D44" i="10"/>
  <c r="F44" i="10"/>
  <c r="D45" i="10"/>
  <c r="F45" i="10"/>
  <c r="D46" i="10"/>
  <c r="F46" i="10"/>
  <c r="D47" i="10"/>
  <c r="F47" i="10"/>
  <c r="D48" i="10"/>
  <c r="F48" i="10"/>
  <c r="B22" i="3"/>
  <c r="F30" i="3"/>
  <c r="D37" i="3"/>
  <c r="F37" i="3"/>
  <c r="D38" i="3"/>
  <c r="F38" i="3"/>
  <c r="D39" i="3"/>
  <c r="F39" i="3"/>
  <c r="D40" i="3"/>
  <c r="F40" i="3"/>
  <c r="D41" i="3"/>
  <c r="F41" i="3"/>
  <c r="D44" i="3"/>
  <c r="F44" i="3"/>
  <c r="D45" i="3"/>
  <c r="F45" i="3"/>
  <c r="D46" i="3"/>
  <c r="F46" i="3"/>
  <c r="D47" i="3"/>
  <c r="F47" i="3"/>
  <c r="D48" i="3"/>
  <c r="F48" i="3"/>
  <c r="B23" i="7"/>
  <c r="F29" i="7"/>
  <c r="D36" i="7"/>
  <c r="F36" i="7"/>
  <c r="D37" i="7"/>
  <c r="F37" i="7"/>
  <c r="D38" i="7"/>
  <c r="F38" i="7"/>
  <c r="D39" i="7"/>
  <c r="F39" i="7"/>
  <c r="D40" i="7"/>
  <c r="F40" i="7"/>
  <c r="D41" i="7"/>
  <c r="F41" i="7"/>
  <c r="D42" i="7"/>
  <c r="F42" i="7"/>
  <c r="D43" i="7"/>
  <c r="F43" i="7"/>
  <c r="D44" i="7"/>
  <c r="F44" i="7"/>
  <c r="D45" i="7"/>
  <c r="F45" i="7"/>
  <c r="D46" i="7"/>
  <c r="F46" i="7"/>
  <c r="D47" i="7"/>
  <c r="F47" i="7"/>
  <c r="D48" i="7"/>
  <c r="F48" i="7"/>
  <c r="D49" i="7"/>
  <c r="F49" i="7"/>
  <c r="D50" i="7"/>
  <c r="F50" i="7"/>
  <c r="B21" i="5"/>
  <c r="F28" i="5"/>
  <c r="D34" i="5"/>
  <c r="F34" i="5"/>
  <c r="D35" i="5"/>
  <c r="F35" i="5"/>
  <c r="D36" i="5"/>
  <c r="F36" i="5"/>
  <c r="D37" i="5"/>
  <c r="F37" i="5"/>
  <c r="D38" i="5"/>
  <c r="F38" i="5"/>
  <c r="D39" i="5"/>
  <c r="F39" i="5"/>
  <c r="D40" i="5"/>
  <c r="F40" i="5"/>
  <c r="D41" i="5"/>
  <c r="F41" i="5"/>
  <c r="D42" i="5"/>
  <c r="F42" i="5"/>
  <c r="D43" i="5"/>
  <c r="F43" i="5"/>
  <c r="D44" i="5"/>
  <c r="F44" i="5"/>
  <c r="D45" i="5"/>
  <c r="F45" i="5"/>
  <c r="D46" i="5"/>
  <c r="F46" i="5"/>
  <c r="D47" i="5"/>
  <c r="F47" i="5"/>
  <c r="D48" i="5"/>
  <c r="F48" i="5"/>
  <c r="B18" i="6"/>
  <c r="F31" i="6"/>
  <c r="D36" i="6"/>
  <c r="F36" i="6"/>
  <c r="D37" i="6"/>
  <c r="F37" i="6"/>
  <c r="D38" i="6"/>
  <c r="F38" i="6"/>
  <c r="D39" i="6"/>
  <c r="F39" i="6"/>
  <c r="D40" i="6"/>
  <c r="F40" i="6"/>
  <c r="D41" i="6"/>
  <c r="F41" i="6"/>
  <c r="D42" i="6"/>
  <c r="F42" i="6"/>
  <c r="D46" i="6"/>
  <c r="F46" i="6"/>
  <c r="D47" i="6"/>
  <c r="F47" i="6"/>
  <c r="B16" i="4"/>
  <c r="F36" i="4"/>
  <c r="D41" i="4"/>
  <c r="F41" i="4"/>
  <c r="D42" i="4"/>
  <c r="F42" i="4"/>
  <c r="D43" i="4"/>
  <c r="F43" i="4"/>
  <c r="D47" i="4"/>
  <c r="F47" i="4"/>
  <c r="D48" i="4"/>
  <c r="F48" i="4"/>
  <c r="D49" i="4"/>
  <c r="F49" i="4"/>
  <c r="D50" i="4"/>
  <c r="F50" i="4"/>
  <c r="D51" i="4"/>
  <c r="F51" i="4"/>
  <c r="B25" i="9"/>
  <c r="F31" i="9"/>
  <c r="D37" i="9"/>
  <c r="F37" i="9"/>
  <c r="D38" i="9"/>
  <c r="F38" i="9"/>
  <c r="D39" i="9"/>
  <c r="F39" i="9"/>
  <c r="D40" i="9"/>
  <c r="F40" i="9"/>
  <c r="D41" i="9"/>
  <c r="F41" i="9"/>
  <c r="B13" i="2"/>
  <c r="B23" i="2"/>
  <c r="F30" i="2"/>
  <c r="D36" i="2"/>
  <c r="F36" i="2"/>
  <c r="D37" i="2"/>
  <c r="F37" i="2"/>
  <c r="D38" i="2"/>
  <c r="F38" i="2"/>
  <c r="D39" i="2"/>
  <c r="F39" i="2"/>
  <c r="D40" i="2"/>
  <c r="F40" i="2"/>
  <c r="D41" i="2"/>
  <c r="F41" i="2"/>
  <c r="D42" i="2"/>
  <c r="F42" i="2"/>
  <c r="D43" i="2"/>
  <c r="F43" i="2"/>
  <c r="D44" i="2"/>
  <c r="F44" i="2"/>
  <c r="D45" i="2"/>
  <c r="F45" i="2"/>
  <c r="D46" i="2"/>
  <c r="F46" i="2"/>
  <c r="D47" i="2"/>
  <c r="F47" i="2"/>
  <c r="D48" i="2"/>
  <c r="F48" i="2"/>
  <c r="D49" i="2"/>
  <c r="F49" i="2"/>
  <c r="D50" i="2"/>
  <c r="F50" i="2"/>
</calcChain>
</file>

<file path=xl/sharedStrings.xml><?xml version="1.0" encoding="utf-8"?>
<sst xmlns="http://schemas.openxmlformats.org/spreadsheetml/2006/main" count="743" uniqueCount="131">
  <si>
    <t>List of BGI Standard Commercial  Cyclones</t>
  </si>
  <si>
    <t>Rev.12, Feb, 2014</t>
  </si>
  <si>
    <t>Type No.</t>
  </si>
  <si>
    <t>Name</t>
  </si>
  <si>
    <t>D50-μm</t>
  </si>
  <si>
    <t>Q - lpm</t>
  </si>
  <si>
    <t>Sharpness</t>
  </si>
  <si>
    <t>Calculator</t>
  </si>
  <si>
    <t xml:space="preserve">VSCC 2.946 </t>
  </si>
  <si>
    <t>EPA Equivalent</t>
  </si>
  <si>
    <t>Y</t>
  </si>
  <si>
    <t>SCC 1.062</t>
  </si>
  <si>
    <t>Triplex</t>
  </si>
  <si>
    <t>1/2.5/4</t>
  </si>
  <si>
    <t>3.5/1.5/1</t>
  </si>
  <si>
    <t>SCC 1.829</t>
  </si>
  <si>
    <t>Photometer/Environmental Sampler</t>
  </si>
  <si>
    <t>1.23 est</t>
  </si>
  <si>
    <t>SCC 2.654</t>
  </si>
  <si>
    <t>1.22 est</t>
  </si>
  <si>
    <t>SCC 2.229</t>
  </si>
  <si>
    <t>PM1</t>
  </si>
  <si>
    <t>SCC 3.495</t>
  </si>
  <si>
    <t>PM2.5</t>
  </si>
  <si>
    <t>GK 2.05</t>
  </si>
  <si>
    <t>KTL</t>
  </si>
  <si>
    <t>GK 2.05 SH</t>
  </si>
  <si>
    <t xml:space="preserve">GK 2.69 </t>
  </si>
  <si>
    <t>Resp./Thoraccic</t>
  </si>
  <si>
    <t>4/10</t>
  </si>
  <si>
    <t xml:space="preserve">4.2/1.6 </t>
  </si>
  <si>
    <t>BGI 4</t>
  </si>
  <si>
    <t>H-D</t>
  </si>
  <si>
    <t>1.22/1.22 est</t>
  </si>
  <si>
    <t>SCC 0.732</t>
  </si>
  <si>
    <t>1.19 est</t>
  </si>
  <si>
    <t>SCC 1.197</t>
  </si>
  <si>
    <t>1/2.5</t>
  </si>
  <si>
    <t>5/2.27</t>
  </si>
  <si>
    <t>1.17/1.25 est</t>
  </si>
  <si>
    <t>SCC 2.354</t>
  </si>
  <si>
    <t>17.3/8</t>
  </si>
  <si>
    <t>SCC 0.695</t>
  </si>
  <si>
    <t>Diesel soot</t>
  </si>
  <si>
    <t>GK 4.162</t>
  </si>
  <si>
    <t>Rascal Respirable</t>
  </si>
  <si>
    <t xml:space="preserve">The purpose of this list is to present a calculator for each of the BGI cyclones for which there is a mathematical model. It should be </t>
  </si>
  <si>
    <t xml:space="preserve">understood that these "calculators" are derived from the model which is deduced from actual test results. Where a cyclone has </t>
  </si>
  <si>
    <t>been  tested at a particular set of conditions, the information is reliable. Extrapolations are assumed to be reliable.</t>
  </si>
  <si>
    <t>The main purpose of the calculator is to assist investigators who have operated at a flow rate for which there is no data, to</t>
  </si>
  <si>
    <t>appreciate their results. The secondary purpose of the calculator is to select a set of operating parameters for a specific study.</t>
  </si>
  <si>
    <t>All pressure drop data was collected as a separate study.</t>
  </si>
  <si>
    <t>All test data was taken at Engineering standard conditions.</t>
  </si>
  <si>
    <t>The publication and public availability of the information contained in these documents does not place BGI under obligation as to</t>
  </si>
  <si>
    <t>the correctness of the information nor any consequences resulting from the usage thereof .</t>
  </si>
  <si>
    <t>Work Area</t>
  </si>
  <si>
    <t>LPM</t>
  </si>
  <si>
    <t>Q</t>
  </si>
  <si>
    <t>Enter in Red</t>
  </si>
  <si>
    <t>Answer in Blue</t>
  </si>
  <si>
    <r>
      <t xml:space="preserve">Enter in </t>
    </r>
    <r>
      <rPr>
        <sz val="10"/>
        <color indexed="10"/>
        <rFont val="Arial"/>
        <family val="2"/>
      </rPr>
      <t>RED</t>
    </r>
  </si>
  <si>
    <t>Mfg: BGI</t>
  </si>
  <si>
    <r>
      <t xml:space="preserve">Answer in </t>
    </r>
    <r>
      <rPr>
        <sz val="10"/>
        <color indexed="12"/>
        <rFont val="Arial"/>
        <family val="2"/>
      </rPr>
      <t>BLUE</t>
    </r>
  </si>
  <si>
    <t>Dist: Sunset Labs</t>
  </si>
  <si>
    <t>Q-lpm</t>
  </si>
  <si>
    <t>DP</t>
  </si>
  <si>
    <t>Qs corrected to: BP=760 mm of Hg, T= 20 C</t>
  </si>
  <si>
    <t>Room BP:</t>
  </si>
  <si>
    <t>mm of Hg</t>
  </si>
  <si>
    <t xml:space="preserve">  </t>
  </si>
  <si>
    <t>RoomTemp:</t>
  </si>
  <si>
    <t>C</t>
  </si>
  <si>
    <t>Reading</t>
  </si>
  <si>
    <t>Critical</t>
  </si>
  <si>
    <t>Abs. P</t>
  </si>
  <si>
    <t>Temp.</t>
  </si>
  <si>
    <t>Venturi</t>
  </si>
  <si>
    <t>Crit. Vent.</t>
  </si>
  <si>
    <t>Qs</t>
  </si>
  <si>
    <t>DUT</t>
  </si>
  <si>
    <t>Number</t>
  </si>
  <si>
    <t>Lpm</t>
  </si>
  <si>
    <t>Cm of H2O</t>
  </si>
  <si>
    <t>hPa</t>
  </si>
  <si>
    <t># 1D</t>
  </si>
  <si>
    <t>#2D</t>
  </si>
  <si>
    <t>D50</t>
  </si>
  <si>
    <t>HSE test data</t>
  </si>
  <si>
    <t>D50=</t>
  </si>
  <si>
    <t>Lpm=</t>
  </si>
  <si>
    <t xml:space="preserve">Answer in Blue </t>
  </si>
  <si>
    <t>Operator:</t>
  </si>
  <si>
    <t>rg</t>
  </si>
  <si>
    <t>VSCC 2.946</t>
  </si>
  <si>
    <t>S/N 110308-5</t>
  </si>
  <si>
    <t>SP</t>
  </si>
  <si>
    <t># 1</t>
  </si>
  <si>
    <t>#2</t>
  </si>
  <si>
    <t>SCC 0.695 no calibration chamber</t>
  </si>
  <si>
    <t xml:space="preserve">D 50 </t>
  </si>
  <si>
    <t>lpm</t>
  </si>
  <si>
    <t>µm</t>
  </si>
  <si>
    <r>
      <t xml:space="preserve">Enter in </t>
    </r>
    <r>
      <rPr>
        <sz val="10"/>
        <color indexed="10"/>
        <rFont val="Arial"/>
        <family val="2"/>
      </rPr>
      <t>Red</t>
    </r>
  </si>
  <si>
    <r>
      <t xml:space="preserve">Return in </t>
    </r>
    <r>
      <rPr>
        <sz val="10"/>
        <color indexed="12"/>
        <rFont val="Arial"/>
        <family val="2"/>
      </rPr>
      <t>Blue</t>
    </r>
  </si>
  <si>
    <t>Qs corrected to: BP=760 mm of Hg, T= 20C</t>
  </si>
  <si>
    <t xml:space="preserve"> </t>
  </si>
  <si>
    <t>SCC1.062 no calibration chamber</t>
  </si>
  <si>
    <t>3320 Nov</t>
  </si>
  <si>
    <t>3310 Nov</t>
  </si>
  <si>
    <t>3320 Jan</t>
  </si>
  <si>
    <t>SCC1.062</t>
  </si>
  <si>
    <t>Work area</t>
  </si>
  <si>
    <t>SCC D50 vs. Lpm</t>
  </si>
  <si>
    <t>KTL Cyclone. D50 vs. Q.  Rg - 22 Mar 01</t>
  </si>
  <si>
    <t>GK 2.69 Cyclone. D50 vs. Q</t>
  </si>
  <si>
    <r>
      <t xml:space="preserve">Answer in </t>
    </r>
    <r>
      <rPr>
        <sz val="10"/>
        <color indexed="12"/>
        <rFont val="Arial"/>
        <family val="2"/>
      </rPr>
      <t>Blue</t>
    </r>
  </si>
  <si>
    <t>GK 2.69</t>
  </si>
  <si>
    <t>GK 4.162 Respirable Cyclone</t>
  </si>
  <si>
    <t xml:space="preserve"> GK 4.162</t>
  </si>
  <si>
    <t>GK 4.162 with Empty 47 mm Cassette</t>
  </si>
  <si>
    <t xml:space="preserve">   </t>
  </si>
  <si>
    <t># 1A</t>
  </si>
  <si>
    <t>Enter in RED</t>
  </si>
  <si>
    <t>#3D</t>
  </si>
  <si>
    <t>Higgins and Dewell Cyclone performance model.</t>
  </si>
  <si>
    <t>Based on information provided by Lee Kenny on 23 Oct 94</t>
  </si>
  <si>
    <r>
      <t>D</t>
    </r>
    <r>
      <rPr>
        <b/>
        <vertAlign val="subscript"/>
        <sz val="10"/>
        <rFont val="Arial"/>
        <family val="2"/>
      </rPr>
      <t>50</t>
    </r>
    <r>
      <rPr>
        <b/>
        <sz val="10"/>
        <rFont val="Arial"/>
        <family val="2"/>
      </rPr>
      <t xml:space="preserve"> - μm</t>
    </r>
  </si>
  <si>
    <t xml:space="preserve">Work Area </t>
  </si>
  <si>
    <t>Input flow rate in red</t>
  </si>
  <si>
    <t>Answer returns in Blue</t>
  </si>
  <si>
    <r>
      <t>D</t>
    </r>
    <r>
      <rPr>
        <b/>
        <vertAlign val="subscript"/>
        <sz val="10"/>
        <color indexed="12"/>
        <rFont val="Arial"/>
        <family val="2"/>
      </rPr>
      <t>50</t>
    </r>
    <r>
      <rPr>
        <b/>
        <sz val="10"/>
        <color indexed="12"/>
        <rFont val="Arial"/>
        <family val="2"/>
      </rPr>
      <t xml:space="preserve"> - μm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</si>
</sst>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6">
    <font>
      <sz val="10"/>
      <name val="Arial"/>
    </font>
    <font>
      <b/>
      <sz val="10"/>
      <name val="Arial"/>
      <family val="2"/>
    </font>
    <font>
      <sz val="8"/>
      <name val="Arial"/>
    </font>
    <font>
      <u/>
      <sz val="10"/>
      <color indexed="12"/>
      <name val="Arial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0"/>
      <name val="Arial"/>
    </font>
    <font>
      <sz val="10"/>
      <color indexed="12"/>
      <name val="Arial"/>
    </font>
    <font>
      <sz val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48"/>
      <name val="Arial"/>
    </font>
    <font>
      <b/>
      <vertAlign val="subscript"/>
      <sz val="10"/>
      <name val="Arial"/>
      <family val="2"/>
    </font>
    <font>
      <b/>
      <vertAlign val="subscript"/>
      <sz val="10"/>
      <color indexed="12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0" fillId="0" borderId="0" xfId="0" applyAlignment="1">
      <alignment horizontal="center"/>
    </xf>
    <xf numFmtId="16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1" applyAlignment="1" applyProtection="1">
      <alignment horizontal="left"/>
    </xf>
    <xf numFmtId="49" fontId="3" fillId="0" borderId="0" xfId="1" applyNumberFormat="1" applyAlignment="1" applyProtection="1">
      <alignment horizontal="left"/>
    </xf>
    <xf numFmtId="0" fontId="3" fillId="0" borderId="0" xfId="1" applyAlignment="1" applyProtection="1"/>
    <xf numFmtId="0" fontId="0" fillId="0" borderId="1" xfId="0" applyBorder="1"/>
    <xf numFmtId="0" fontId="0" fillId="0" borderId="2" xfId="0" applyBorder="1"/>
    <xf numFmtId="0" fontId="4" fillId="0" borderId="3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15" fontId="0" fillId="0" borderId="0" xfId="0" applyNumberFormat="1"/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5" xfId="0" applyBorder="1"/>
    <xf numFmtId="0" fontId="0" fillId="0" borderId="6" xfId="0" applyBorder="1"/>
    <xf numFmtId="0" fontId="6" fillId="0" borderId="3" xfId="0" applyFont="1" applyBorder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49" fontId="1" fillId="0" borderId="0" xfId="0" applyNumberFormat="1" applyFont="1" applyAlignment="1">
      <alignment horizontal="left"/>
    </xf>
    <xf numFmtId="0" fontId="7" fillId="0" borderId="5" xfId="0" applyFont="1" applyBorder="1"/>
    <xf numFmtId="0" fontId="6" fillId="0" borderId="5" xfId="0" applyFont="1" applyBorder="1"/>
    <xf numFmtId="0" fontId="7" fillId="0" borderId="0" xfId="0" applyFont="1" applyAlignment="1">
      <alignment horizontal="right"/>
    </xf>
    <xf numFmtId="2" fontId="7" fillId="0" borderId="4" xfId="0" applyNumberFormat="1" applyFont="1" applyBorder="1" applyAlignment="1">
      <alignment horizontal="center"/>
    </xf>
    <xf numFmtId="0" fontId="11" fillId="0" borderId="5" xfId="0" applyFont="1" applyBorder="1"/>
    <xf numFmtId="0" fontId="6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6" fillId="0" borderId="5" xfId="0" applyNumberFormat="1" applyFont="1" applyBorder="1" applyAlignment="1">
      <alignment horizontal="left"/>
    </xf>
    <xf numFmtId="2" fontId="0" fillId="0" borderId="6" xfId="0" applyNumberFormat="1" applyBorder="1" applyAlignment="1">
      <alignment horizontal="center"/>
    </xf>
    <xf numFmtId="0" fontId="7" fillId="0" borderId="5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8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4" fontId="0" fillId="0" borderId="0" xfId="0" applyNumberFormat="1"/>
    <xf numFmtId="2" fontId="0" fillId="0" borderId="0" xfId="0" applyNumberForma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7" fillId="0" borderId="4" xfId="0" applyNumberFormat="1" applyFont="1" applyBorder="1" applyAlignment="1">
      <alignment horizontal="left" indent="1"/>
    </xf>
    <xf numFmtId="164" fontId="7" fillId="0" borderId="4" xfId="0" applyNumberFormat="1" applyFont="1" applyBorder="1" applyAlignment="1">
      <alignment horizontal="center"/>
    </xf>
    <xf numFmtId="0" fontId="14" fillId="0" borderId="0" xfId="0" applyFont="1"/>
    <xf numFmtId="0" fontId="10" fillId="0" borderId="3" xfId="0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3" fillId="0" borderId="0" xfId="1" applyFill="1" applyAlignment="1" applyProtection="1"/>
    <xf numFmtId="0" fontId="4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5" xfId="0" applyFont="1" applyBorder="1"/>
    <xf numFmtId="0" fontId="5" fillId="0" borderId="6" xfId="0" applyFont="1" applyBorder="1"/>
    <xf numFmtId="2" fontId="5" fillId="0" borderId="6" xfId="0" applyNumberFormat="1" applyFont="1" applyBorder="1"/>
    <xf numFmtId="2" fontId="0" fillId="0" borderId="6" xfId="0" applyNumberFormat="1" applyBorder="1"/>
    <xf numFmtId="0" fontId="5" fillId="0" borderId="3" xfId="0" applyFont="1" applyBorder="1"/>
    <xf numFmtId="2" fontId="0" fillId="0" borderId="4" xfId="0" applyNumberFormat="1" applyBorder="1"/>
    <xf numFmtId="0" fontId="15" fillId="0" borderId="0" xfId="1" applyFont="1" applyAlignment="1" applyProtection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SCC - 2.345</a:t>
            </a:r>
          </a:p>
        </c:rich>
      </c:tx>
      <c:layout>
        <c:manualLayout>
          <c:xMode val="edge"/>
          <c:yMode val="edge"/>
          <c:x val="0.37816836121840203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99639451677197"/>
          <c:y val="0.21739130434782608"/>
          <c:w val="0.79532315142839194"/>
          <c:h val="0.56521739130434778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none"/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wer"/>
            <c:dispRSqr val="0"/>
            <c:dispEq val="0"/>
          </c:trendline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wer"/>
            <c:dispRSqr val="1"/>
            <c:dispEq val="1"/>
            <c:trendlineLbl>
              <c:layout>
                <c:manualLayout>
                  <c:x val="5.4567490148022646E-2"/>
                  <c:y val="-0.62278985507246376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2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Q = 27.94(D50)</a:t>
                    </a:r>
                    <a:r>
                      <a:rPr lang="en-US" sz="1200" b="0" i="0" u="none" strike="noStrike" baseline="3000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-1.161</a:t>
                    </a:r>
                    <a:endParaRPr lang="en-US" sz="12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en-US" sz="12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strRef>
              <c:f>[1]Sheet1!$A$2:$A$18</c:f>
              <c:strCache>
                <c:ptCount val="1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</c:strCache>
            </c:strRef>
          </c:xVal>
          <c:yVal>
            <c:numRef>
              <c:f>[1]Sheet1!$B$2:$B$18</c:f>
              <c:numCache>
                <c:formatCode>General</c:formatCode>
                <c:ptCount val="17"/>
                <c:pt idx="0">
                  <c:v>12.494999999999999</c:v>
                </c:pt>
                <c:pt idx="1">
                  <c:v>7.8040000000000003</c:v>
                </c:pt>
                <c:pt idx="2">
                  <c:v>5.5880000000000001</c:v>
                </c:pt>
                <c:pt idx="3">
                  <c:v>4.3120000000000003</c:v>
                </c:pt>
                <c:pt idx="4">
                  <c:v>3.49</c:v>
                </c:pt>
                <c:pt idx="5">
                  <c:v>2.9180000000000001</c:v>
                </c:pt>
                <c:pt idx="6">
                  <c:v>2.4990000000000001</c:v>
                </c:pt>
                <c:pt idx="7">
                  <c:v>2.1789999999999998</c:v>
                </c:pt>
                <c:pt idx="8">
                  <c:v>1.929</c:v>
                </c:pt>
                <c:pt idx="9">
                  <c:v>1.7270000000000001</c:v>
                </c:pt>
                <c:pt idx="10">
                  <c:v>1.5609999999999999</c:v>
                </c:pt>
                <c:pt idx="11">
                  <c:v>1.4219999999999999</c:v>
                </c:pt>
                <c:pt idx="12">
                  <c:v>1.3049999999999999</c:v>
                </c:pt>
                <c:pt idx="13">
                  <c:v>1.204</c:v>
                </c:pt>
                <c:pt idx="14">
                  <c:v>1.117</c:v>
                </c:pt>
                <c:pt idx="15">
                  <c:v>1.042</c:v>
                </c:pt>
                <c:pt idx="16">
                  <c:v>0.97499999999999998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32D-43CE-8219-261FFDCE1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125072"/>
        <c:axId val="216350272"/>
      </c:scatterChart>
      <c:valAx>
        <c:axId val="216125072"/>
        <c:scaling>
          <c:orientation val="minMax"/>
          <c:max val="18"/>
          <c:min val="2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Q - Lpm</a:t>
                </a:r>
              </a:p>
            </c:rich>
          </c:tx>
          <c:layout>
            <c:manualLayout>
              <c:xMode val="edge"/>
              <c:yMode val="edge"/>
              <c:x val="0.48927968384442738"/>
              <c:y val="0.880434782608695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6350272"/>
        <c:crosses val="autoZero"/>
        <c:crossBetween val="midCat"/>
        <c:majorUnit val="1"/>
      </c:valAx>
      <c:valAx>
        <c:axId val="216350272"/>
        <c:scaling>
          <c:orientation val="minMax"/>
          <c:max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D50 - AED</a:t>
                </a:r>
              </a:p>
            </c:rich>
          </c:tx>
          <c:layout>
            <c:manualLayout>
              <c:xMode val="edge"/>
              <c:yMode val="edge"/>
              <c:x val="3.1189143193270274E-2"/>
              <c:y val="0.388586956521739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612507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4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KTL (GK 2.05)</a:t>
            </a:r>
          </a:p>
        </c:rich>
      </c:tx>
      <c:layout>
        <c:manualLayout>
          <c:xMode val="edge"/>
          <c:yMode val="edge"/>
          <c:x val="0.40699893176336382"/>
          <c:y val="3.16622691292876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23042779988885"/>
          <c:y val="0.19525091118036669"/>
          <c:w val="0.83425564401984786"/>
          <c:h val="0.5883912593678617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none"/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wer"/>
            <c:dispRSqr val="0"/>
            <c:dispEq val="1"/>
            <c:trendlineLbl>
              <c:layout>
                <c:manualLayout>
                  <c:xMode val="edge"/>
                  <c:yMode val="edge"/>
                  <c:x val="0.72559983166406194"/>
                  <c:y val="4.2216413228187394E-2"/>
                </c:manualLayout>
              </c:layout>
              <c:tx>
                <c:rich>
                  <a:bodyPr/>
                  <a:lstStyle/>
                  <a:p>
                    <a:pPr>
                      <a:defRPr sz="145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2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D50 = 12.188Q</a:t>
                    </a:r>
                    <a:r>
                      <a:rPr lang="en-US" sz="1200" b="0" i="0" u="none" strike="noStrike" baseline="3000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-1.143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strRef>
              <c:f>[7]Sheet1!$A$4:$A$11</c:f>
              <c:strCache>
                <c:ptCount val="8"/>
                <c:pt idx="0">
                  <c:v>1.5</c:v>
                </c:pt>
                <c:pt idx="1">
                  <c:v>2</c:v>
                </c:pt>
                <c:pt idx="2">
                  <c:v>2.5</c:v>
                </c:pt>
                <c:pt idx="3">
                  <c:v>3</c:v>
                </c:pt>
                <c:pt idx="4">
                  <c:v>3.5</c:v>
                </c:pt>
                <c:pt idx="5">
                  <c:v>4</c:v>
                </c:pt>
                <c:pt idx="6">
                  <c:v>4.5</c:v>
                </c:pt>
                <c:pt idx="7">
                  <c:v>5</c:v>
                </c:pt>
              </c:strCache>
            </c:strRef>
          </c:xVal>
          <c:yVal>
            <c:numRef>
              <c:f>[7]Sheet1!$B$4:$B$11</c:f>
              <c:numCache>
                <c:formatCode>General</c:formatCode>
                <c:ptCount val="8"/>
                <c:pt idx="0">
                  <c:v>7.6680000000000001</c:v>
                </c:pt>
                <c:pt idx="1">
                  <c:v>5.5190000000000001</c:v>
                </c:pt>
                <c:pt idx="2">
                  <c:v>4.2770000000000001</c:v>
                </c:pt>
                <c:pt idx="3">
                  <c:v>3.472</c:v>
                </c:pt>
                <c:pt idx="4">
                  <c:v>2.911</c:v>
                </c:pt>
                <c:pt idx="5">
                  <c:v>2.4990000000000001</c:v>
                </c:pt>
                <c:pt idx="6">
                  <c:v>2.1840000000000002</c:v>
                </c:pt>
                <c:pt idx="7">
                  <c:v>1.9370000000000001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8F-4F05-80CE-2B25A7D59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832456"/>
        <c:axId val="217350504"/>
      </c:scatterChart>
      <c:valAx>
        <c:axId val="216832456"/>
        <c:scaling>
          <c:orientation val="minMax"/>
          <c:max val="5"/>
          <c:min val="1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Flow - Lpm</a:t>
                </a:r>
              </a:p>
            </c:rich>
          </c:tx>
          <c:layout>
            <c:manualLayout>
              <c:xMode val="edge"/>
              <c:yMode val="edge"/>
              <c:x val="0.47329727430480029"/>
              <c:y val="0.899737255798170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7350504"/>
        <c:crosses val="autoZero"/>
        <c:crossBetween val="midCat"/>
      </c:valAx>
      <c:valAx>
        <c:axId val="217350504"/>
        <c:scaling>
          <c:orientation val="minMax"/>
          <c:max val="8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D50 A.E.D. - Micrometers</a:t>
                </a:r>
              </a:p>
            </c:rich>
          </c:tx>
          <c:layout>
            <c:manualLayout>
              <c:xMode val="edge"/>
              <c:yMode val="edge"/>
              <c:x val="2.9465930018416207E-2"/>
              <c:y val="0.279683654318935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683245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KTL with Shroud</a:t>
            </a:r>
          </a:p>
        </c:rich>
      </c:tx>
      <c:layout>
        <c:manualLayout>
          <c:xMode val="edge"/>
          <c:yMode val="edge"/>
          <c:x val="0.36599999999999999"/>
          <c:y val="3.1914893617021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99999999999999"/>
          <c:y val="0.18883003245256458"/>
          <c:w val="0.81599999999999995"/>
          <c:h val="0.6223412337169029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none"/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wer"/>
            <c:forward val="0.5"/>
            <c:dispRSqr val="0"/>
            <c:dispEq val="1"/>
            <c:trendlineLbl>
              <c:layout>
                <c:manualLayout>
                  <c:xMode val="edge"/>
                  <c:yMode val="edge"/>
                  <c:x val="0.69599999999999995"/>
                  <c:y val="8.2446915577880309E-2"/>
                </c:manualLayout>
              </c:layout>
              <c:tx>
                <c:rich>
                  <a:bodyPr/>
                  <a:lstStyle/>
                  <a:p>
                    <a:pPr>
                      <a:defRPr sz="10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025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D50 = 8.2417(Q)</a:t>
                    </a:r>
                    <a:r>
                      <a:rPr lang="en-US" sz="1025" b="0" i="0" u="none" strike="noStrike" baseline="3000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-0.9552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strRef>
              <c:f>[8]Sheet1!$A$4:$A$10</c:f>
              <c:strCache>
                <c:ptCount val="7"/>
                <c:pt idx="0">
                  <c:v>1.5</c:v>
                </c:pt>
                <c:pt idx="1">
                  <c:v>2</c:v>
                </c:pt>
                <c:pt idx="2">
                  <c:v>2.5</c:v>
                </c:pt>
                <c:pt idx="3">
                  <c:v>3</c:v>
                </c:pt>
                <c:pt idx="4">
                  <c:v>3.5</c:v>
                </c:pt>
                <c:pt idx="5">
                  <c:v>4</c:v>
                </c:pt>
                <c:pt idx="6">
                  <c:v>4.5</c:v>
                </c:pt>
              </c:strCache>
            </c:strRef>
          </c:xVal>
          <c:yVal>
            <c:numRef>
              <c:f>[8]Sheet1!$B$4:$B$10</c:f>
              <c:numCache>
                <c:formatCode>General</c:formatCode>
                <c:ptCount val="7"/>
                <c:pt idx="0">
                  <c:v>5.5190000000000001</c:v>
                </c:pt>
                <c:pt idx="1">
                  <c:v>4.2770000000000001</c:v>
                </c:pt>
                <c:pt idx="2">
                  <c:v>3.472</c:v>
                </c:pt>
                <c:pt idx="3">
                  <c:v>2.911</c:v>
                </c:pt>
                <c:pt idx="4">
                  <c:v>2.5</c:v>
                </c:pt>
                <c:pt idx="5">
                  <c:v>2.1800000000000002</c:v>
                </c:pt>
                <c:pt idx="6">
                  <c:v>1.94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B7-4FD8-A4BD-91F853008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351288"/>
        <c:axId val="217351680"/>
      </c:scatterChart>
      <c:valAx>
        <c:axId val="217351288"/>
        <c:scaling>
          <c:orientation val="minMax"/>
          <c:max val="5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Q - lpm</a:t>
                </a:r>
              </a:p>
            </c:rich>
          </c:tx>
          <c:layout>
            <c:manualLayout>
              <c:xMode val="edge"/>
              <c:yMode val="edge"/>
              <c:x val="0.5"/>
              <c:y val="0.896277712626347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7351680"/>
        <c:crosses val="autoZero"/>
        <c:crossBetween val="midCat"/>
      </c:valAx>
      <c:valAx>
        <c:axId val="217351680"/>
        <c:scaling>
          <c:orientation val="minMax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D50 - Micrometers</a:t>
                </a:r>
              </a:p>
            </c:rich>
          </c:tx>
          <c:layout>
            <c:manualLayout>
              <c:xMode val="edge"/>
              <c:yMode val="edge"/>
              <c:x val="3.2000000000000001E-2"/>
              <c:y val="0.324468643547216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73512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06410129608095"/>
          <c:y val="6.0679683564931412E-2"/>
          <c:w val="0.82516077379644792"/>
          <c:h val="0.7864086990015111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none"/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wer"/>
            <c:backward val="1"/>
            <c:dispRSqr val="0"/>
            <c:dispEq val="1"/>
            <c:trendlineLbl>
              <c:layout>
                <c:manualLayout>
                  <c:xMode val="edge"/>
                  <c:yMode val="edge"/>
                  <c:x val="0.52238860356622674"/>
                  <c:y val="8.7378744333501235E-2"/>
                </c:manualLayout>
              </c:layout>
              <c:tx>
                <c:rich>
                  <a:bodyPr/>
                  <a:lstStyle/>
                  <a:p>
                    <a:pPr>
                      <a:defRPr sz="8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D50 =-0.63366+15.9Q^-0.853 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strRef>
              <c:f>[9]Sheet1!$A$4:$A$17</c:f>
              <c:strCache>
                <c:ptCount val="14"/>
                <c:pt idx="0">
                  <c:v>1.6</c:v>
                </c:pt>
                <c:pt idx="1">
                  <c:v>2.7</c:v>
                </c:pt>
                <c:pt idx="2">
                  <c:v>4.2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</c:strCache>
            </c:strRef>
          </c:xVal>
          <c:yVal>
            <c:numRef>
              <c:f>[9]Sheet1!$B$4:$B$17</c:f>
              <c:numCache>
                <c:formatCode>General</c:formatCode>
                <c:ptCount val="14"/>
                <c:pt idx="0">
                  <c:v>10</c:v>
                </c:pt>
                <c:pt idx="1">
                  <c:v>6.22</c:v>
                </c:pt>
                <c:pt idx="2">
                  <c:v>4</c:v>
                </c:pt>
                <c:pt idx="3">
                  <c:v>3.47</c:v>
                </c:pt>
                <c:pt idx="4">
                  <c:v>2.82</c:v>
                </c:pt>
                <c:pt idx="5">
                  <c:v>2.36</c:v>
                </c:pt>
                <c:pt idx="6">
                  <c:v>2.0299999999999998</c:v>
                </c:pt>
                <c:pt idx="7">
                  <c:v>1.77</c:v>
                </c:pt>
                <c:pt idx="8">
                  <c:v>1.57</c:v>
                </c:pt>
                <c:pt idx="9">
                  <c:v>1.41</c:v>
                </c:pt>
                <c:pt idx="10">
                  <c:v>1.27</c:v>
                </c:pt>
                <c:pt idx="11">
                  <c:v>1.1599999999999999</c:v>
                </c:pt>
                <c:pt idx="12">
                  <c:v>1.07</c:v>
                </c:pt>
                <c:pt idx="13">
                  <c:v>0.98799999999999999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8D-48A8-B56D-1C7FEE74B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352464"/>
        <c:axId val="217352856"/>
      </c:scatterChart>
      <c:valAx>
        <c:axId val="217352464"/>
        <c:scaling>
          <c:orientation val="minMax"/>
          <c:max val="8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Flow - Lpm</a:t>
                </a:r>
              </a:p>
            </c:rich>
          </c:tx>
          <c:layout>
            <c:manualLayout>
              <c:xMode val="edge"/>
              <c:yMode val="edge"/>
              <c:x val="0.47334799567964453"/>
              <c:y val="0.912622378513365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7352856"/>
        <c:crosses val="autoZero"/>
        <c:crossBetween val="midCat"/>
        <c:majorUnit val="0.5"/>
      </c:valAx>
      <c:valAx>
        <c:axId val="217352856"/>
        <c:scaling>
          <c:orientation val="minMax"/>
          <c:max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D50 A.E.D. - Micrometers</a:t>
                </a:r>
              </a:p>
            </c:rich>
          </c:tx>
          <c:layout>
            <c:manualLayout>
              <c:xMode val="edge"/>
              <c:yMode val="edge"/>
              <c:x val="3.8379530916844352E-2"/>
              <c:y val="0.286408021812807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7352464"/>
        <c:crosses val="autoZero"/>
        <c:crossBetween val="midCat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GK 4.162 - 10 Resp.</a:t>
            </a:r>
          </a:p>
        </c:rich>
      </c:tx>
      <c:layout>
        <c:manualLayout>
          <c:xMode val="edge"/>
          <c:yMode val="edge"/>
          <c:x val="0.34142150775347185"/>
          <c:y val="3.140096618357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44554220843787"/>
          <c:y val="0.18357531225305765"/>
          <c:w val="0.79549460732253241"/>
          <c:h val="0.62318987580643259"/>
        </c:manualLayout>
      </c:layout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wer"/>
            <c:forward val="6"/>
            <c:dispRSqr val="1"/>
            <c:dispEq val="1"/>
            <c:trendlineLbl>
              <c:layout>
                <c:manualLayout>
                  <c:x val="6.3587364345642161E-2"/>
                  <c:y val="-0.69610505982468329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strRef>
              <c:f>[10]Actual!$A$4:$A$9</c:f>
              <c:strCache>
                <c:ptCount val="6"/>
                <c:pt idx="0">
                  <c:v>7</c:v>
                </c:pt>
                <c:pt idx="1">
                  <c:v>8</c:v>
                </c:pt>
                <c:pt idx="2">
                  <c:v>8.5</c:v>
                </c:pt>
                <c:pt idx="3">
                  <c:v>9</c:v>
                </c:pt>
                <c:pt idx="4">
                  <c:v>9.5</c:v>
                </c:pt>
                <c:pt idx="5">
                  <c:v>10</c:v>
                </c:pt>
              </c:strCache>
            </c:strRef>
          </c:xVal>
          <c:yVal>
            <c:numRef>
              <c:f>[10]Actual!$B$4:$B$9</c:f>
              <c:numCache>
                <c:formatCode>General</c:formatCode>
                <c:ptCount val="6"/>
                <c:pt idx="0">
                  <c:v>4.8899999999999997</c:v>
                </c:pt>
                <c:pt idx="1">
                  <c:v>4.34</c:v>
                </c:pt>
                <c:pt idx="2">
                  <c:v>4.09</c:v>
                </c:pt>
                <c:pt idx="3">
                  <c:v>3.91</c:v>
                </c:pt>
                <c:pt idx="4">
                  <c:v>3.67</c:v>
                </c:pt>
                <c:pt idx="5">
                  <c:v>3.47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20A-4B0E-80CE-30F9B936A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354032"/>
        <c:axId val="217105336"/>
      </c:scatterChart>
      <c:valAx>
        <c:axId val="217354032"/>
        <c:scaling>
          <c:orientation val="minMax"/>
          <c:min val="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Flow rate - lpm</a:t>
                </a:r>
              </a:p>
            </c:rich>
          </c:tx>
          <c:layout>
            <c:manualLayout>
              <c:xMode val="edge"/>
              <c:yMode val="edge"/>
              <c:x val="0.4558062564536452"/>
              <c:y val="0.893721835495200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7105336"/>
        <c:crosses val="autoZero"/>
        <c:crossBetween val="midCat"/>
        <c:majorUnit val="1"/>
      </c:valAx>
      <c:valAx>
        <c:axId val="217105336"/>
        <c:scaling>
          <c:orientation val="minMax"/>
          <c:max val="5"/>
          <c:min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D50 - Micrometers</a:t>
                </a:r>
              </a:p>
            </c:rich>
          </c:tx>
          <c:layout>
            <c:manualLayout>
              <c:xMode val="edge"/>
              <c:yMode val="edge"/>
              <c:x val="2.7729636048526862E-2"/>
              <c:y val="0.32367225835900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7354032"/>
        <c:crosses val="autoZero"/>
        <c:crossBetween val="midCat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SCC 0.732</a:t>
            </a:r>
          </a:p>
        </c:rich>
      </c:tx>
      <c:layout>
        <c:manualLayout>
          <c:xMode val="edge"/>
          <c:yMode val="edge"/>
          <c:x val="0.4164989939637827"/>
          <c:y val="3.53356890459363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70020120724346"/>
          <c:y val="0.2332159500882531"/>
          <c:w val="0.83299798792756541"/>
          <c:h val="0.5229691001979008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none"/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wer"/>
            <c:dispRSqr val="0"/>
            <c:dispEq val="1"/>
            <c:trendlineLbl>
              <c:layout>
                <c:manualLayout>
                  <c:xMode val="edge"/>
                  <c:yMode val="edge"/>
                  <c:x val="0.74446680080482897"/>
                  <c:y val="5.6537200021394694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D50 = 2.2387Q</a:t>
                    </a:r>
                    <a:r>
                      <a:rPr lang="en-US" sz="1000" b="0" i="0" u="none" strike="noStrike" baseline="3000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-1.1608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strRef>
              <c:f>'[11]SCC0.732'!$A$2:$A$9</c:f>
              <c:strCache>
                <c:ptCount val="8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</c:strCache>
            </c:strRef>
          </c:xVal>
          <c:yVal>
            <c:numRef>
              <c:f>'[11]SCC0.732'!$B$2:$B$9</c:f>
              <c:numCache>
                <c:formatCode>General</c:formatCode>
                <c:ptCount val="8"/>
                <c:pt idx="0">
                  <c:v>5.0060000000000002</c:v>
                </c:pt>
                <c:pt idx="1">
                  <c:v>2.2389999999999999</c:v>
                </c:pt>
                <c:pt idx="2">
                  <c:v>1.3979999999999999</c:v>
                </c:pt>
                <c:pt idx="3">
                  <c:v>1.0009999999999999</c:v>
                </c:pt>
                <c:pt idx="4">
                  <c:v>0.77300000000000002</c:v>
                </c:pt>
                <c:pt idx="5">
                  <c:v>0.625</c:v>
                </c:pt>
                <c:pt idx="6">
                  <c:v>0.52300000000000002</c:v>
                </c:pt>
                <c:pt idx="7">
                  <c:v>0.44800000000000001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B6-47CA-8291-1DB1BA033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106904"/>
        <c:axId val="217107296"/>
      </c:scatterChart>
      <c:valAx>
        <c:axId val="217106904"/>
        <c:scaling>
          <c:orientation val="minMax"/>
          <c:max val="4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Q - LPM</a:t>
                </a:r>
              </a:p>
            </c:rich>
          </c:tx>
          <c:layout>
            <c:manualLayout>
              <c:xMode val="edge"/>
              <c:yMode val="edge"/>
              <c:x val="0.47887323943661969"/>
              <c:y val="0.865725865538892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7107296"/>
        <c:crosses val="autoZero"/>
        <c:crossBetween val="midCat"/>
      </c:valAx>
      <c:valAx>
        <c:axId val="217107296"/>
        <c:scaling>
          <c:orientation val="minMax"/>
          <c:max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D50 Micrometers</a:t>
                </a:r>
              </a:p>
            </c:rich>
          </c:tx>
          <c:layout>
            <c:manualLayout>
              <c:xMode val="edge"/>
              <c:yMode val="edge"/>
              <c:x val="3.2193158953722337E-2"/>
              <c:y val="0.303887296773415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710690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SCC 1.197</a:t>
            </a:r>
          </a:p>
        </c:rich>
      </c:tx>
      <c:layout>
        <c:manualLayout>
          <c:xMode val="edge"/>
          <c:yMode val="edge"/>
          <c:x val="0.4164989939637827"/>
          <c:y val="3.53356890459363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70020120724346"/>
          <c:y val="0.2332159500882531"/>
          <c:w val="0.84507042253521125"/>
          <c:h val="0.52296910019790088"/>
        </c:manualLayout>
      </c:layout>
      <c:scatterChart>
        <c:scatterStyle val="lineMarker"/>
        <c:varyColors val="0"/>
        <c:ser>
          <c:idx val="1"/>
          <c:order val="0"/>
          <c:spPr>
            <a:ln w="28575">
              <a:noFill/>
            </a:ln>
          </c:spPr>
          <c:marker>
            <c:symbol val="none"/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wer"/>
            <c:dispRSqr val="0"/>
            <c:dispEq val="1"/>
            <c:trendlineLbl>
              <c:layout>
                <c:manualLayout>
                  <c:x val="-2.6827632461423612E-5"/>
                  <c:y val="-0.59138908709531446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D50 = 6.4793Q</a:t>
                    </a:r>
                    <a:r>
                      <a:rPr lang="en-US" sz="1000" b="0" i="0" u="none" strike="noStrike" baseline="3000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-1.161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strRef>
              <c:f>'[11]SCC1.197'!$A$2:$A$7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strCache>
            </c:strRef>
          </c:xVal>
          <c:yVal>
            <c:numRef>
              <c:f>'[11]SCC1.197'!$B$2:$B$7</c:f>
              <c:numCache>
                <c:formatCode>General</c:formatCode>
                <c:ptCount val="6"/>
                <c:pt idx="0">
                  <c:v>6.4790000000000001</c:v>
                </c:pt>
                <c:pt idx="1">
                  <c:v>2.8969999999999998</c:v>
                </c:pt>
                <c:pt idx="2">
                  <c:v>1.81</c:v>
                </c:pt>
                <c:pt idx="3">
                  <c:v>1.296</c:v>
                </c:pt>
                <c:pt idx="4">
                  <c:v>1</c:v>
                </c:pt>
                <c:pt idx="5">
                  <c:v>0.80900000000000005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91B-4034-83AC-CBCD85789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7108080"/>
        <c:axId val="217108472"/>
      </c:scatterChart>
      <c:valAx>
        <c:axId val="217108080"/>
        <c:scaling>
          <c:orientation val="minMax"/>
          <c:max val="6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Q - LPM</a:t>
                </a:r>
              </a:p>
            </c:rich>
          </c:tx>
          <c:layout>
            <c:manualLayout>
              <c:xMode val="edge"/>
              <c:yMode val="edge"/>
              <c:x val="0.48490945674044267"/>
              <c:y val="0.865725865538892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7108472"/>
        <c:crosses val="autoZero"/>
        <c:crossBetween val="midCat"/>
      </c:valAx>
      <c:valAx>
        <c:axId val="217108472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D50 Micrometers</a:t>
                </a:r>
              </a:p>
            </c:rich>
          </c:tx>
          <c:layout>
            <c:manualLayout>
              <c:xMode val="edge"/>
              <c:yMode val="edge"/>
              <c:x val="3.2193158953722337E-2"/>
              <c:y val="0.303887296773415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710808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74141876430205"/>
          <c:y val="8.8135739101792746E-2"/>
          <c:w val="0.7986270022883295"/>
          <c:h val="0.6779672238599441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none"/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wer"/>
            <c:dispRSqr val="0"/>
            <c:dispEq val="1"/>
            <c:trendlineLbl>
              <c:layout>
                <c:manualLayout>
                  <c:xMode val="edge"/>
                  <c:yMode val="edge"/>
                  <c:x val="0.11212814645308924"/>
                  <c:y val="0.8949167354951262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000" b="1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D50 = 10.404Q</a:t>
                    </a:r>
                    <a:r>
                      <a:rPr lang="en-US" sz="1000" b="1" i="0" u="none" strike="noStrike" baseline="3000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-1.1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strRef>
              <c:f>[12]Sheet1!$A$6:$A$15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xVal>
          <c:yVal>
            <c:numRef>
              <c:f>[12]Sheet1!$B$6:$B$15</c:f>
              <c:numCache>
                <c:formatCode>General</c:formatCode>
                <c:ptCount val="10"/>
                <c:pt idx="0">
                  <c:v>10.403969153340148</c:v>
                </c:pt>
                <c:pt idx="1">
                  <c:v>4.853623231498811</c:v>
                </c:pt>
                <c:pt idx="2">
                  <c:v>3.1071747262858125</c:v>
                </c:pt>
                <c:pt idx="3">
                  <c:v>2.2642953017389416</c:v>
                </c:pt>
                <c:pt idx="4">
                  <c:v>1.7714628585826466</c:v>
                </c:pt>
                <c:pt idx="5">
                  <c:v>1.449548265047006</c:v>
                </c:pt>
                <c:pt idx="6">
                  <c:v>1.2234640477799945</c:v>
                </c:pt>
                <c:pt idx="7">
                  <c:v>1.0563311095521108</c:v>
                </c:pt>
                <c:pt idx="8">
                  <c:v>0.92796649407305942</c:v>
                </c:pt>
                <c:pt idx="9">
                  <c:v>0.82641664516985569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AE-4A77-8A3B-42C692DE8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8235208"/>
        <c:axId val="218235600"/>
      </c:scatterChart>
      <c:valAx>
        <c:axId val="218235208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Q - LPM</a:t>
                </a:r>
              </a:p>
            </c:rich>
          </c:tx>
          <c:layout>
            <c:manualLayout>
              <c:xMode val="edge"/>
              <c:yMode val="edge"/>
              <c:x val="0.48512585812356979"/>
              <c:y val="0.871187864228835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8235600"/>
        <c:crosses val="autoZero"/>
        <c:crossBetween val="midCat"/>
      </c:valAx>
      <c:valAx>
        <c:axId val="218235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D50 - Micrometers</a:t>
                </a:r>
              </a:p>
            </c:rich>
          </c:tx>
          <c:layout>
            <c:manualLayout>
              <c:xMode val="edge"/>
              <c:yMode val="edge"/>
              <c:x val="3.6613272311212815E-2"/>
              <c:y val="0.23050883046398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823520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VSCC - 2.946</a:t>
            </a:r>
          </a:p>
        </c:rich>
      </c:tx>
      <c:layout>
        <c:manualLayout>
          <c:xMode val="edge"/>
          <c:yMode val="edge"/>
          <c:x val="0.36160761154855642"/>
          <c:y val="3.35051546391752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526805906901667"/>
          <c:y val="0.19329921233087893"/>
          <c:w val="0.7566972533059837"/>
          <c:h val="0.60051621964126389"/>
        </c:manualLayout>
      </c:layout>
      <c:scatterChart>
        <c:scatterStyle val="lineMarker"/>
        <c:varyColors val="0"/>
        <c:ser>
          <c:idx val="0"/>
          <c:order val="0"/>
          <c:tx>
            <c:v>rg</c:v>
          </c:tx>
          <c:spPr>
            <a:ln w="28575">
              <a:noFill/>
            </a:ln>
          </c:spPr>
          <c:marker>
            <c:symbol val="none"/>
          </c:marker>
          <c:xVal>
            <c:numRef>
              <c:f>'VSCC 2.946 '!$A$2:$A$11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</c:numCache>
            </c:numRef>
          </c:xVal>
          <c:yVal>
            <c:numRef>
              <c:f>'VSCC 2.946 '!$B$2:$B$11</c:f>
              <c:numCache>
                <c:formatCode>General</c:formatCode>
                <c:ptCount val="10"/>
                <c:pt idx="0">
                  <c:v>19.768000000000001</c:v>
                </c:pt>
                <c:pt idx="1">
                  <c:v>10.057</c:v>
                </c:pt>
                <c:pt idx="2">
                  <c:v>6.7729999999999997</c:v>
                </c:pt>
                <c:pt idx="3">
                  <c:v>5.1159999999999997</c:v>
                </c:pt>
                <c:pt idx="4">
                  <c:v>4.1159999999999997</c:v>
                </c:pt>
                <c:pt idx="5">
                  <c:v>3.4460000000000002</c:v>
                </c:pt>
                <c:pt idx="6">
                  <c:v>2.9649999999999999</c:v>
                </c:pt>
                <c:pt idx="7">
                  <c:v>2.6030000000000002</c:v>
                </c:pt>
                <c:pt idx="8">
                  <c:v>2.3199999999999998</c:v>
                </c:pt>
                <c:pt idx="9">
                  <c:v>2.0939999999999999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404-47DB-A4C5-3A043CA8B1F6}"/>
            </c:ext>
          </c:extLst>
        </c:ser>
        <c:ser>
          <c:idx val="1"/>
          <c:order val="1"/>
          <c:tx>
            <c:v>HSE test data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wer"/>
            <c:dispRSqr val="0"/>
            <c:dispEq val="1"/>
            <c:trendlineLbl>
              <c:layout>
                <c:manualLayout>
                  <c:x val="0.11131653477313508"/>
                  <c:y val="0.42085809003247066"/>
                </c:manualLayout>
              </c:layout>
              <c:tx>
                <c:rich>
                  <a:bodyPr/>
                  <a:lstStyle/>
                  <a:p>
                    <a:pPr>
                      <a:defRPr sz="11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175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d50 = 31.48Q</a:t>
                    </a:r>
                    <a:r>
                      <a:rPr lang="en-US" sz="1175" b="0" i="0" u="none" strike="noStrike" baseline="3000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-0.8963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numRef>
              <c:f>'VSCC 2.946 '!$J$2:$J$6</c:f>
              <c:numCache>
                <c:formatCode>General</c:formatCode>
                <c:ptCount val="5"/>
                <c:pt idx="0">
                  <c:v>18</c:v>
                </c:pt>
                <c:pt idx="1">
                  <c:v>15</c:v>
                </c:pt>
                <c:pt idx="2">
                  <c:v>11.4</c:v>
                </c:pt>
                <c:pt idx="3">
                  <c:v>15.7</c:v>
                </c:pt>
                <c:pt idx="4">
                  <c:v>18.7</c:v>
                </c:pt>
              </c:numCache>
            </c:numRef>
          </c:xVal>
          <c:yVal>
            <c:numRef>
              <c:f>'VSCC 2.946 '!$K$2:$K$6</c:f>
              <c:numCache>
                <c:formatCode>General</c:formatCode>
                <c:ptCount val="5"/>
                <c:pt idx="0">
                  <c:v>2.36</c:v>
                </c:pt>
                <c:pt idx="1">
                  <c:v>2.758</c:v>
                </c:pt>
                <c:pt idx="2">
                  <c:v>3.57</c:v>
                </c:pt>
                <c:pt idx="3">
                  <c:v>2.66</c:v>
                </c:pt>
                <c:pt idx="4">
                  <c:v>2.2949999999999999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404-47DB-A4C5-3A043CA8B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537160"/>
        <c:axId val="216541640"/>
      </c:scatterChart>
      <c:valAx>
        <c:axId val="216537160"/>
        <c:scaling>
          <c:orientation val="minMax"/>
          <c:max val="20"/>
          <c:min val="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Lpm</a:t>
                </a:r>
              </a:p>
            </c:rich>
          </c:tx>
          <c:layout>
            <c:manualLayout>
              <c:xMode val="edge"/>
              <c:yMode val="edge"/>
              <c:x val="0.51785761154855636"/>
              <c:y val="0.886599020483264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6541640"/>
        <c:crosses val="autoZero"/>
        <c:crossBetween val="midCat"/>
        <c:majorUnit val="2"/>
      </c:valAx>
      <c:valAx>
        <c:axId val="216541640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D50</a:t>
                </a:r>
              </a:p>
            </c:rich>
          </c:tx>
          <c:layout>
            <c:manualLayout>
              <c:xMode val="edge"/>
              <c:yMode val="edge"/>
              <c:x val="3.5714285714285712E-2"/>
              <c:y val="0.445876829829261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653716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4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SCC 0.695 Predicted D50</a:t>
            </a:r>
          </a:p>
        </c:rich>
      </c:tx>
      <c:layout>
        <c:manualLayout>
          <c:xMode val="edge"/>
          <c:yMode val="edge"/>
          <c:x val="0.37476518824977384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7610433605582"/>
          <c:y val="0.15641064806352178"/>
          <c:w val="0.83992621514207999"/>
          <c:h val="0.6820529899163408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none"/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wer"/>
            <c:backward val="3"/>
            <c:dispRSqr val="0"/>
            <c:dispEq val="1"/>
            <c:trendlineLbl>
              <c:layout>
                <c:manualLayout>
                  <c:x val="-2.3038646600566495E-2"/>
                  <c:y val="-0.70129255615736841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D50 = 2.0016Q</a:t>
                    </a:r>
                    <a:r>
                      <a:rPr lang="en-US" sz="800" b="0" i="0" u="none" strike="noStrike" baseline="3000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-1.1611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strRef>
              <c:f>[2]Sheet3!$A$4:$A$14</c:f>
              <c:strCache>
                <c:ptCount val="11"/>
                <c:pt idx="0">
                  <c:v>1.5</c:v>
                </c:pt>
                <c:pt idx="1">
                  <c:v>1.6</c:v>
                </c:pt>
                <c:pt idx="2">
                  <c:v>1.7</c:v>
                </c:pt>
                <c:pt idx="3">
                  <c:v>1.8</c:v>
                </c:pt>
                <c:pt idx="4">
                  <c:v>1.9</c:v>
                </c:pt>
                <c:pt idx="5">
                  <c:v>2</c:v>
                </c:pt>
                <c:pt idx="6">
                  <c:v>2.1</c:v>
                </c:pt>
                <c:pt idx="7">
                  <c:v>2.2</c:v>
                </c:pt>
                <c:pt idx="8">
                  <c:v>2.3</c:v>
                </c:pt>
                <c:pt idx="9">
                  <c:v>2.4</c:v>
                </c:pt>
                <c:pt idx="10">
                  <c:v>2.5</c:v>
                </c:pt>
              </c:strCache>
            </c:strRef>
          </c:xVal>
          <c:yVal>
            <c:numRef>
              <c:f>[2]Sheet3!$B$4:$B$14</c:f>
              <c:numCache>
                <c:formatCode>General</c:formatCode>
                <c:ptCount val="11"/>
                <c:pt idx="0">
                  <c:v>1.25</c:v>
                </c:pt>
                <c:pt idx="1">
                  <c:v>1.1599999999999999</c:v>
                </c:pt>
                <c:pt idx="2">
                  <c:v>1.081</c:v>
                </c:pt>
                <c:pt idx="3">
                  <c:v>1.0109999999999999</c:v>
                </c:pt>
                <c:pt idx="4">
                  <c:v>0.95</c:v>
                </c:pt>
                <c:pt idx="5">
                  <c:v>0.89500000000000002</c:v>
                </c:pt>
                <c:pt idx="6">
                  <c:v>0.84599999999999997</c:v>
                </c:pt>
                <c:pt idx="7">
                  <c:v>0.80100000000000005</c:v>
                </c:pt>
                <c:pt idx="8">
                  <c:v>0.76100000000000001</c:v>
                </c:pt>
                <c:pt idx="9">
                  <c:v>0.72399999999999998</c:v>
                </c:pt>
                <c:pt idx="10">
                  <c:v>0.69099999999999995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F2-4F00-B68C-1BCAC3C38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699608"/>
        <c:axId val="216712280"/>
      </c:scatterChart>
      <c:valAx>
        <c:axId val="216699608"/>
        <c:scaling>
          <c:orientation val="minMax"/>
          <c:max val="2.5"/>
          <c:min val="0.5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Q - LPM</a:t>
                </a:r>
              </a:p>
            </c:rich>
          </c:tx>
          <c:layout>
            <c:manualLayout>
              <c:xMode val="edge"/>
              <c:yMode val="edge"/>
              <c:x val="0.49340965147718119"/>
              <c:y val="0.907694461269264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6712280"/>
        <c:crosses val="autoZero"/>
        <c:crossBetween val="midCat"/>
      </c:valAx>
      <c:valAx>
        <c:axId val="216712280"/>
        <c:scaling>
          <c:orientation val="minMax"/>
          <c:max val="2.5"/>
          <c:min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D50 Micrometers</a:t>
                </a:r>
              </a:p>
            </c:rich>
          </c:tx>
          <c:layout>
            <c:manualLayout>
              <c:xMode val="edge"/>
              <c:yMode val="edge"/>
              <c:x val="3.0131826741996232E-2"/>
              <c:y val="0.371795679386230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669960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 vs. DP @ 760/20 </a:t>
            </a:r>
          </a:p>
        </c:rich>
      </c:tx>
      <c:layout>
        <c:manualLayout>
          <c:xMode val="edge"/>
          <c:yMode val="edge"/>
          <c:x val="0.34916914483076789"/>
          <c:y val="3.45911949685534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52037735717756"/>
          <c:y val="0.1918244884547233"/>
          <c:w val="0.78384889011571468"/>
          <c:h val="0.61006476656092323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wer"/>
            <c:dispRSqr val="1"/>
            <c:dispEq val="1"/>
            <c:trendlineLbl>
              <c:layout>
                <c:manualLayout>
                  <c:x val="0.15106483277749638"/>
                  <c:y val="-0.20125847364449634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strRef>
              <c:f>'[3]SCC-ESCC'!$D$15:$D$19</c:f>
              <c:strCache>
                <c:ptCount val="5"/>
                <c:pt idx="0">
                  <c:v>1.57107431411006</c:v>
                </c:pt>
                <c:pt idx="1">
                  <c:v>1.75866562664488</c:v>
                </c:pt>
                <c:pt idx="2">
                  <c:v>1.96861951937453</c:v>
                </c:pt>
                <c:pt idx="3">
                  <c:v>2.17623646579912</c:v>
                </c:pt>
                <c:pt idx="4">
                  <c:v>2.39665137329966</c:v>
                </c:pt>
              </c:strCache>
            </c:strRef>
          </c:xVal>
          <c:yVal>
            <c:numRef>
              <c:f>'[3]SCC-ESCC'!$E$15:$E$19</c:f>
              <c:numCache>
                <c:formatCode>General</c:formatCode>
                <c:ptCount val="5"/>
                <c:pt idx="0">
                  <c:v>4.8</c:v>
                </c:pt>
                <c:pt idx="1">
                  <c:v>6.3</c:v>
                </c:pt>
                <c:pt idx="2">
                  <c:v>8.1999999999999993</c:v>
                </c:pt>
                <c:pt idx="3">
                  <c:v>10.3</c:v>
                </c:pt>
                <c:pt idx="4">
                  <c:v>13.1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ED-4DDC-8E5D-BCB832485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757728"/>
        <c:axId val="216758112"/>
      </c:scatterChart>
      <c:valAx>
        <c:axId val="216757728"/>
        <c:scaling>
          <c:orientation val="minMax"/>
          <c:min val="1.5"/>
        </c:scaling>
        <c:delete val="0"/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Q - Lpm</a:t>
                </a:r>
              </a:p>
            </c:rich>
          </c:tx>
          <c:layout>
            <c:manualLayout>
              <c:xMode val="edge"/>
              <c:yMode val="edge"/>
              <c:x val="0.49881285029395078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6758112"/>
        <c:crosses val="autoZero"/>
        <c:crossBetween val="midCat"/>
      </c:valAx>
      <c:valAx>
        <c:axId val="216758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DP - Cm. of H2O</a:t>
                </a:r>
              </a:p>
            </c:rich>
          </c:tx>
          <c:layout>
            <c:manualLayout>
              <c:xMode val="edge"/>
              <c:yMode val="edge"/>
              <c:x val="3.800475059382423E-2"/>
              <c:y val="0.3584915564799683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675772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SCC 1.062 Combined Data</a:t>
            </a:r>
          </a:p>
        </c:rich>
      </c:tx>
      <c:layout>
        <c:manualLayout>
          <c:xMode val="edge"/>
          <c:yMode val="edge"/>
          <c:x val="0.28778533118142841"/>
          <c:y val="3.29113924050632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29425120958529"/>
          <c:y val="0.25822784810126581"/>
          <c:w val="0.82608862676433659"/>
          <c:h val="0.5569620253164556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wer"/>
            <c:forward val="0.5"/>
            <c:backward val="0.5"/>
            <c:dispRSqr val="1"/>
            <c:dispEq val="1"/>
            <c:trendlineLbl>
              <c:layout>
                <c:manualLayout>
                  <c:xMode val="edge"/>
                  <c:yMode val="edge"/>
                  <c:x val="0.75155431457507316"/>
                  <c:y val="4.5569620253164557E-2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D50 = 3.9974Q</a:t>
                    </a:r>
                    <a:r>
                      <a:rPr lang="en-US" sz="800" b="0" i="0" u="none" strike="noStrike" baseline="3000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-1.1166</a:t>
                    </a:r>
                    <a:endParaRPr lang="en-US" sz="8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R</a:t>
                    </a:r>
                    <a:r>
                      <a:rPr lang="en-US" sz="800" b="0" i="0" u="none" strike="noStrike" baseline="3000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2</a:t>
                    </a:r>
                    <a:r>
                      <a:rPr lang="en-US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 = 0.997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strRef>
              <c:f>[4]Combined!$A$6:$A$18</c:f>
              <c:strCache>
                <c:ptCount val="13"/>
                <c:pt idx="0">
                  <c:v>4</c:v>
                </c:pt>
                <c:pt idx="1">
                  <c:v>1.8</c:v>
                </c:pt>
                <c:pt idx="2">
                  <c:v>4</c:v>
                </c:pt>
                <c:pt idx="3">
                  <c:v>1.2</c:v>
                </c:pt>
                <c:pt idx="4">
                  <c:v>1.8</c:v>
                </c:pt>
                <c:pt idx="5">
                  <c:v>1.2</c:v>
                </c:pt>
                <c:pt idx="6">
                  <c:v>1.5</c:v>
                </c:pt>
                <c:pt idx="7">
                  <c:v>1.6</c:v>
                </c:pt>
                <c:pt idx="8">
                  <c:v>1</c:v>
                </c:pt>
                <c:pt idx="9">
                  <c:v>1.1</c:v>
                </c:pt>
                <c:pt idx="10">
                  <c:v>3</c:v>
                </c:pt>
                <c:pt idx="11">
                  <c:v>4</c:v>
                </c:pt>
                <c:pt idx="12">
                  <c:v>3.5</c:v>
                </c:pt>
              </c:strCache>
            </c:strRef>
          </c:xVal>
          <c:yVal>
            <c:numRef>
              <c:f>[4]Combined!$B$6:$B$18</c:f>
              <c:numCache>
                <c:formatCode>General</c:formatCode>
                <c:ptCount val="13"/>
                <c:pt idx="0">
                  <c:v>0.86</c:v>
                </c:pt>
                <c:pt idx="1">
                  <c:v>1.97</c:v>
                </c:pt>
                <c:pt idx="2">
                  <c:v>0.85</c:v>
                </c:pt>
                <c:pt idx="3">
                  <c:v>3.1</c:v>
                </c:pt>
                <c:pt idx="4">
                  <c:v>2.1</c:v>
                </c:pt>
                <c:pt idx="5">
                  <c:v>3.2</c:v>
                </c:pt>
                <c:pt idx="6">
                  <c:v>2.4500000000000002</c:v>
                </c:pt>
                <c:pt idx="7">
                  <c:v>2.4500000000000002</c:v>
                </c:pt>
                <c:pt idx="8">
                  <c:v>4.2</c:v>
                </c:pt>
                <c:pt idx="9">
                  <c:v>3.75</c:v>
                </c:pt>
                <c:pt idx="10">
                  <c:v>1.1399999999999999</c:v>
                </c:pt>
                <c:pt idx="11">
                  <c:v>0.86</c:v>
                </c:pt>
                <c:pt idx="12">
                  <c:v>1.01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4BE-45FC-818F-CC6CB2230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587032"/>
        <c:axId val="216828928"/>
      </c:scatterChart>
      <c:valAx>
        <c:axId val="216587032"/>
        <c:scaling>
          <c:orientation val="minMax"/>
          <c:max val="4.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Flow Rate - Lpm</a:t>
                </a:r>
              </a:p>
            </c:rich>
          </c:tx>
          <c:layout>
            <c:manualLayout>
              <c:xMode val="edge"/>
              <c:yMode val="edge"/>
              <c:x val="0.42650190465322263"/>
              <c:y val="0.88354430379746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6828928"/>
        <c:crosses val="autoZero"/>
        <c:crossBetween val="midCat"/>
        <c:majorUnit val="0.5"/>
      </c:valAx>
      <c:valAx>
        <c:axId val="216828928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D50 - </a:t>
                </a:r>
                <a:r>
                  <a:rPr lang="el-GR"/>
                  <a:t>μ</a:t>
                </a:r>
                <a:r>
                  <a:rPr lang="en-US"/>
                  <a:t>M</a:t>
                </a:r>
              </a:p>
            </c:rich>
          </c:tx>
          <c:layout>
            <c:manualLayout>
              <c:xMode val="edge"/>
              <c:yMode val="edge"/>
              <c:x val="4.5548654244306416E-2"/>
              <c:y val="0.46329113924050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658703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SCC 1.829</a:t>
            </a:r>
          </a:p>
        </c:rich>
      </c:tx>
      <c:layout>
        <c:manualLayout>
          <c:xMode val="edge"/>
          <c:yMode val="edge"/>
          <c:x val="0.41286307053941906"/>
          <c:y val="2.92887029288702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37759336099585"/>
          <c:y val="0.15690392596913202"/>
          <c:w val="0.79668049792531115"/>
          <c:h val="0.6945613789566910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wer"/>
            <c:dispRSqr val="0"/>
            <c:dispEq val="1"/>
            <c:trendlineLbl>
              <c:layout>
                <c:manualLayout>
                  <c:xMode val="edge"/>
                  <c:yMode val="edge"/>
                  <c:x val="0.63692946058091282"/>
                  <c:y val="5.6485413348887521E-2"/>
                </c:manualLayout>
              </c:layout>
              <c:tx>
                <c:rich>
                  <a:bodyPr/>
                  <a:lstStyle/>
                  <a:p>
                    <a:pPr>
                      <a:defRPr sz="102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025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D50 = 16.18Q</a:t>
                    </a:r>
                    <a:r>
                      <a:rPr lang="en-US" sz="1025" b="0" i="0" u="none" strike="noStrike" baseline="3000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-1.1599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numRef>
              <c:f>'SCC 1.829'!$A$2:$A$10</c:f>
              <c:numCache>
                <c:formatCode>0.0</c:formatCode>
                <c:ptCount val="9"/>
                <c:pt idx="0">
                  <c:v>2</c:v>
                </c:pt>
                <c:pt idx="1">
                  <c:v>2.5</c:v>
                </c:pt>
                <c:pt idx="2">
                  <c:v>3</c:v>
                </c:pt>
                <c:pt idx="3">
                  <c:v>3.5</c:v>
                </c:pt>
                <c:pt idx="4">
                  <c:v>4</c:v>
                </c:pt>
                <c:pt idx="5">
                  <c:v>4.5</c:v>
                </c:pt>
                <c:pt idx="6">
                  <c:v>5</c:v>
                </c:pt>
                <c:pt idx="7">
                  <c:v>5.5</c:v>
                </c:pt>
                <c:pt idx="8">
                  <c:v>6</c:v>
                </c:pt>
              </c:numCache>
            </c:numRef>
          </c:xVal>
          <c:yVal>
            <c:numRef>
              <c:f>'SCC 1.829'!$B$2:$B$10</c:f>
              <c:numCache>
                <c:formatCode>0.000</c:formatCode>
                <c:ptCount val="9"/>
                <c:pt idx="0" formatCode="General">
                  <c:v>7.2430000000000003</c:v>
                </c:pt>
                <c:pt idx="1">
                  <c:v>5.59</c:v>
                </c:pt>
                <c:pt idx="2" formatCode="General">
                  <c:v>4.5229999999999997</c:v>
                </c:pt>
                <c:pt idx="3" formatCode="General">
                  <c:v>3.782</c:v>
                </c:pt>
                <c:pt idx="4" formatCode="General">
                  <c:v>3.2389999999999999</c:v>
                </c:pt>
                <c:pt idx="5" formatCode="General">
                  <c:v>2.8250000000000002</c:v>
                </c:pt>
                <c:pt idx="6">
                  <c:v>2.5099999999999998</c:v>
                </c:pt>
                <c:pt idx="7" formatCode="General">
                  <c:v>2.238</c:v>
                </c:pt>
                <c:pt idx="8" formatCode="General">
                  <c:v>2.0230000000000001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3D7-4362-803A-A0B4FDFF8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829712"/>
        <c:axId val="216830104"/>
      </c:scatterChart>
      <c:valAx>
        <c:axId val="216829712"/>
        <c:scaling>
          <c:orientation val="minMax"/>
          <c:max val="6"/>
          <c:min val="2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Q - LPM</a:t>
                </a:r>
              </a:p>
            </c:rich>
          </c:tx>
          <c:layout>
            <c:manualLayout>
              <c:xMode val="edge"/>
              <c:yMode val="edge"/>
              <c:x val="0.487551867219917"/>
              <c:y val="0.9184109203922731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6830104"/>
        <c:crosses val="autoZero"/>
        <c:crossBetween val="midCat"/>
        <c:majorUnit val="0.5"/>
      </c:valAx>
      <c:valAx>
        <c:axId val="216830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D50 - Micrometers</a:t>
                </a:r>
              </a:p>
            </c:rich>
          </c:tx>
          <c:layout>
            <c:manualLayout>
              <c:xMode val="edge"/>
              <c:yMode val="edge"/>
              <c:x val="3.3195020746887967E-2"/>
              <c:y val="0.366109225886513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6829712"/>
        <c:crosses val="autoZero"/>
        <c:crossBetween val="midCat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SCC - 2.645</a:t>
            </a:r>
          </a:p>
        </c:rich>
      </c:tx>
      <c:layout>
        <c:manualLayout>
          <c:xMode val="edge"/>
          <c:yMode val="edge"/>
          <c:x val="0.37977099236641221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58778625954199"/>
          <c:y val="0.20347419194201682"/>
          <c:w val="0.81679389312977102"/>
          <c:h val="0.5980156129027568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none"/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wer"/>
            <c:dispRSqr val="0"/>
            <c:dispEq val="1"/>
            <c:trendlineLbl>
              <c:layout>
                <c:manualLayout>
                  <c:x val="2.7442647913285656E-2"/>
                  <c:y val="-0.59196990368894176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2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D50 = 35.953Q</a:t>
                    </a:r>
                    <a:r>
                      <a:rPr lang="en-US" sz="1200" b="0" i="0" u="none" strike="noStrike" baseline="3000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-1.1611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strRef>
              <c:f>[5]Sheet1!$A$2:$A$12</c:f>
              <c:strCache>
                <c:ptCount val="1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</c:strCache>
            </c:strRef>
          </c:xVal>
          <c:yVal>
            <c:numRef>
              <c:f>[5]Sheet1!$B$2:$B$12</c:f>
              <c:numCache>
                <c:formatCode>General</c:formatCode>
                <c:ptCount val="11"/>
                <c:pt idx="0">
                  <c:v>5.548</c:v>
                </c:pt>
                <c:pt idx="1">
                  <c:v>4.4889999999999999</c:v>
                </c:pt>
                <c:pt idx="2">
                  <c:v>3.754</c:v>
                </c:pt>
                <c:pt idx="3">
                  <c:v>3.2149999999999999</c:v>
                </c:pt>
                <c:pt idx="4">
                  <c:v>2.8039999999999998</c:v>
                </c:pt>
                <c:pt idx="5">
                  <c:v>2.4809999999999999</c:v>
                </c:pt>
                <c:pt idx="6">
                  <c:v>2.2210000000000001</c:v>
                </c:pt>
                <c:pt idx="7">
                  <c:v>2.008</c:v>
                </c:pt>
                <c:pt idx="8">
                  <c:v>1.829</c:v>
                </c:pt>
                <c:pt idx="9">
                  <c:v>1.679</c:v>
                </c:pt>
                <c:pt idx="10">
                  <c:v>1.5489999999999999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663-419B-8EE4-657B5DF96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6830888"/>
        <c:axId val="216831280"/>
      </c:scatterChart>
      <c:valAx>
        <c:axId val="216830888"/>
        <c:scaling>
          <c:orientation val="minMax"/>
          <c:max val="15"/>
          <c:min val="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Q - Lpm</a:t>
                </a:r>
              </a:p>
            </c:rich>
          </c:tx>
          <c:layout>
            <c:manualLayout>
              <c:xMode val="edge"/>
              <c:yMode val="edge"/>
              <c:x val="0.48091603053435117"/>
              <c:y val="0.890819900614160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6831280"/>
        <c:crosses val="autoZero"/>
        <c:crossBetween val="midCat"/>
        <c:majorUnit val="1"/>
      </c:valAx>
      <c:valAx>
        <c:axId val="216831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D50 - AED</a:t>
                </a:r>
              </a:p>
            </c:rich>
          </c:tx>
          <c:layout>
            <c:manualLayout>
              <c:xMode val="edge"/>
              <c:yMode val="edge"/>
              <c:x val="3.0534351145038167E-2"/>
              <c:y val="0.399504243111050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68308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4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SCC 2.229</a:t>
            </a:r>
          </a:p>
        </c:rich>
      </c:tx>
      <c:layout>
        <c:manualLayout>
          <c:xMode val="edge"/>
          <c:yMode val="edge"/>
          <c:x val="0.41443298969072168"/>
          <c:y val="3.59712230215827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2680412371134"/>
          <c:y val="0.23741007194244604"/>
          <c:w val="0.81030927835051547"/>
          <c:h val="0.5143884892086331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none"/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wer"/>
            <c:dispRSqr val="0"/>
            <c:dispEq val="1"/>
            <c:trendlineLbl>
              <c:layout>
                <c:manualLayout>
                  <c:xMode val="edge"/>
                  <c:yMode val="edge"/>
                  <c:x val="0.71134020618556704"/>
                  <c:y val="5.3956834532374098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0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D50 = 25.63Q</a:t>
                    </a:r>
                    <a:r>
                      <a:rPr lang="en-US" sz="1000" b="0" i="0" u="none" strike="noStrike" baseline="3000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-1.1521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numRef>
              <c:f>'SCC 2.229'!$A$4:$A$14</c:f>
              <c:numCache>
                <c:formatCode>General</c:formatCode>
                <c:ptCount val="1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</c:numCache>
            </c:numRef>
          </c:xVal>
          <c:yVal>
            <c:numRef>
              <c:f>'SCC 2.229'!$B$4:$B$14</c:f>
              <c:numCache>
                <c:formatCode>General</c:formatCode>
                <c:ptCount val="11"/>
                <c:pt idx="0">
                  <c:v>1.806</c:v>
                </c:pt>
                <c:pt idx="1">
                  <c:v>1.6180000000000001</c:v>
                </c:pt>
                <c:pt idx="2">
                  <c:v>1.464</c:v>
                </c:pt>
                <c:pt idx="3">
                  <c:v>1.335</c:v>
                </c:pt>
                <c:pt idx="4">
                  <c:v>1.2250000000000001</c:v>
                </c:pt>
                <c:pt idx="5">
                  <c:v>1.1319999999999999</c:v>
                </c:pt>
                <c:pt idx="6">
                  <c:v>1.0509999999999999</c:v>
                </c:pt>
                <c:pt idx="7">
                  <c:v>0.98</c:v>
                </c:pt>
                <c:pt idx="8">
                  <c:v>0.91700000000000004</c:v>
                </c:pt>
                <c:pt idx="9">
                  <c:v>0.86199999999999999</c:v>
                </c:pt>
                <c:pt idx="10">
                  <c:v>0.81299999999999994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EE-4B65-A7B8-6F7A6B25C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697912"/>
        <c:axId val="145697520"/>
      </c:scatterChart>
      <c:valAx>
        <c:axId val="145697912"/>
        <c:scaling>
          <c:orientation val="minMax"/>
          <c:max val="20"/>
          <c:min val="10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Q - LPM</a:t>
                </a:r>
              </a:p>
            </c:rich>
          </c:tx>
          <c:layout>
            <c:manualLayout>
              <c:xMode val="edge"/>
              <c:yMode val="edge"/>
              <c:x val="0.49072164948453606"/>
              <c:y val="0.863309352517985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697520"/>
        <c:crosses val="autoZero"/>
        <c:crossBetween val="midCat"/>
        <c:majorUnit val="1"/>
      </c:valAx>
      <c:valAx>
        <c:axId val="145697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D50 - A.E.D.</a:t>
                </a:r>
              </a:p>
            </c:rich>
          </c:tx>
          <c:layout>
            <c:manualLayout>
              <c:xMode val="edge"/>
              <c:yMode val="edge"/>
              <c:x val="3.2989690721649485E-2"/>
              <c:y val="0.356115107913669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69791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D50 vs Flow Rate - Lpm</a:t>
            </a:r>
          </a:p>
        </c:rich>
      </c:tx>
      <c:layout>
        <c:manualLayout>
          <c:xMode val="edge"/>
          <c:yMode val="edge"/>
          <c:x val="0.25889328063241107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03162055335968"/>
          <c:y val="0.20512871877183186"/>
          <c:w val="0.78458498023715417"/>
          <c:h val="0.58974506646901659"/>
        </c:manualLayout>
      </c:layout>
      <c:scatterChart>
        <c:scatterStyle val="lineMarker"/>
        <c:varyColors val="0"/>
        <c:ser>
          <c:idx val="0"/>
          <c:order val="0"/>
          <c:tx>
            <c:strRef>
              <c:f>[6]Sheet1!$B$3</c:f>
              <c:strCache>
                <c:ptCount val="1"/>
                <c:pt idx="0">
                  <c:v>D50</c:v>
                </c:pt>
              </c:strCache>
            </c:strRef>
          </c:tx>
          <c:spPr>
            <a:ln w="28575">
              <a:noFill/>
            </a:ln>
          </c:spPr>
          <c:marker>
            <c:symbol val="none"/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power"/>
            <c:dispRSqr val="0"/>
            <c:dispEq val="1"/>
            <c:trendlineLbl>
              <c:layout>
                <c:manualLayout>
                  <c:xMode val="edge"/>
                  <c:yMode val="edge"/>
                  <c:x val="0.67391304347826086"/>
                  <c:y val="9.4872032431972231E-2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 sz="12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D50 = 64.73Q</a:t>
                    </a:r>
                    <a:r>
                      <a:rPr lang="en-US" sz="1200" b="0" i="0" u="none" strike="noStrike" baseline="3000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-1.1566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strRef>
              <c:f>[6]Sheet1!$A$4:$A$14</c:f>
              <c:strCache>
                <c:ptCount val="11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</c:strCache>
            </c:strRef>
          </c:xVal>
          <c:yVal>
            <c:numRef>
              <c:f>[6]Sheet1!$B$4:$B$14</c:f>
              <c:numCache>
                <c:formatCode>General</c:formatCode>
                <c:ptCount val="11"/>
                <c:pt idx="0">
                  <c:v>4.5250000000000004</c:v>
                </c:pt>
                <c:pt idx="1">
                  <c:v>4.0510000000000002</c:v>
                </c:pt>
                <c:pt idx="2">
                  <c:v>3.6219999999999999</c:v>
                </c:pt>
                <c:pt idx="3">
                  <c:v>3.3370000000000002</c:v>
                </c:pt>
                <c:pt idx="4">
                  <c:v>3.0619999999999998</c:v>
                </c:pt>
                <c:pt idx="5">
                  <c:v>2.8260000000000001</c:v>
                </c:pt>
                <c:pt idx="6">
                  <c:v>2.6219999999999999</c:v>
                </c:pt>
                <c:pt idx="7">
                  <c:v>2.444</c:v>
                </c:pt>
                <c:pt idx="8">
                  <c:v>2.2869999999999999</c:v>
                </c:pt>
                <c:pt idx="9">
                  <c:v>2.1480000000000001</c:v>
                </c:pt>
                <c:pt idx="10">
                  <c:v>2.024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86-42DB-B93D-B157F77580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698304"/>
        <c:axId val="145696736"/>
      </c:scatterChart>
      <c:valAx>
        <c:axId val="145698304"/>
        <c:scaling>
          <c:orientation val="minMax"/>
          <c:max val="20"/>
          <c:min val="1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Flow Rate - Lpm</a:t>
                </a:r>
              </a:p>
            </c:rich>
          </c:tx>
          <c:layout>
            <c:manualLayout>
              <c:xMode val="edge"/>
              <c:yMode val="edge"/>
              <c:x val="0.42885375494071148"/>
              <c:y val="0.887181640756443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696736"/>
        <c:crosses val="autoZero"/>
        <c:crossBetween val="midCat"/>
        <c:majorUnit val="1"/>
      </c:valAx>
      <c:valAx>
        <c:axId val="145696736"/>
        <c:scaling>
          <c:orientation val="minMax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D50- AED Micrometers</a:t>
                </a:r>
              </a:p>
            </c:rich>
          </c:tx>
          <c:layout>
            <c:manualLayout>
              <c:xMode val="edge"/>
              <c:yMode val="edge"/>
              <c:x val="3.1620553359683792E-2"/>
              <c:y val="0.274359781950333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698304"/>
        <c:crosses val="autoZero"/>
        <c:crossBetween val="midCat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emf"/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27</xdr:row>
      <xdr:rowOff>47625</xdr:rowOff>
    </xdr:from>
    <xdr:to>
      <xdr:col>12</xdr:col>
      <xdr:colOff>514350</xdr:colOff>
      <xdr:row>53</xdr:row>
      <xdr:rowOff>152400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9525" y="219075"/>
          <a:ext cx="4124325" cy="431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581025</xdr:colOff>
      <xdr:row>1</xdr:row>
      <xdr:rowOff>76200</xdr:rowOff>
    </xdr:from>
    <xdr:to>
      <xdr:col>10</xdr:col>
      <xdr:colOff>590550</xdr:colOff>
      <xdr:row>22</xdr:row>
      <xdr:rowOff>9525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2</xdr:row>
      <xdr:rowOff>66675</xdr:rowOff>
    </xdr:from>
    <xdr:to>
      <xdr:col>10</xdr:col>
      <xdr:colOff>447675</xdr:colOff>
      <xdr:row>24</xdr:row>
      <xdr:rowOff>66675</xdr:rowOff>
    </xdr:to>
    <xdr:graphicFrame macro="">
      <xdr:nvGraphicFramePr>
        <xdr:cNvPr id="10259" name="Chart 1">
          <a:extLst>
            <a:ext uri="{FF2B5EF4-FFF2-40B4-BE49-F238E27FC236}">
              <a16:creationId xmlns:a16="http://schemas.microsoft.com/office/drawing/2014/main" id="{00000000-0008-0000-0A00-000013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152400</xdr:colOff>
      <xdr:row>25</xdr:row>
      <xdr:rowOff>19050</xdr:rowOff>
    </xdr:from>
    <xdr:to>
      <xdr:col>12</xdr:col>
      <xdr:colOff>533400</xdr:colOff>
      <xdr:row>48</xdr:row>
      <xdr:rowOff>28575</xdr:rowOff>
    </xdr:to>
    <xdr:pic>
      <xdr:nvPicPr>
        <xdr:cNvPr id="10260" name="Picture 2">
          <a:extLst>
            <a:ext uri="{FF2B5EF4-FFF2-40B4-BE49-F238E27FC236}">
              <a16:creationId xmlns:a16="http://schemas.microsoft.com/office/drawing/2014/main" id="{00000000-0008-0000-0A00-000014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4095750"/>
          <a:ext cx="4038600" cy="3743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2</xdr:row>
      <xdr:rowOff>152400</xdr:rowOff>
    </xdr:from>
    <xdr:to>
      <xdr:col>9</xdr:col>
      <xdr:colOff>552450</xdr:colOff>
      <xdr:row>27</xdr:row>
      <xdr:rowOff>0</xdr:rowOff>
    </xdr:to>
    <xdr:graphicFrame macro="">
      <xdr:nvGraphicFramePr>
        <xdr:cNvPr id="7190" name="Chart 3">
          <a:extLst>
            <a:ext uri="{FF2B5EF4-FFF2-40B4-BE49-F238E27FC236}">
              <a16:creationId xmlns:a16="http://schemas.microsoft.com/office/drawing/2014/main" id="{00000000-0008-0000-0B00-000016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85725</xdr:colOff>
      <xdr:row>27</xdr:row>
      <xdr:rowOff>19050</xdr:rowOff>
    </xdr:from>
    <xdr:to>
      <xdr:col>12</xdr:col>
      <xdr:colOff>552450</xdr:colOff>
      <xdr:row>52</xdr:row>
      <xdr:rowOff>28575</xdr:rowOff>
    </xdr:to>
    <xdr:pic>
      <xdr:nvPicPr>
        <xdr:cNvPr id="7191" name="Picture 5">
          <a:extLst>
            <a:ext uri="{FF2B5EF4-FFF2-40B4-BE49-F238E27FC236}">
              <a16:creationId xmlns:a16="http://schemas.microsoft.com/office/drawing/2014/main" id="{00000000-0008-0000-0B00-000017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4419600"/>
          <a:ext cx="4124325" cy="406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152400</xdr:rowOff>
    </xdr:from>
    <xdr:to>
      <xdr:col>11</xdr:col>
      <xdr:colOff>581025</xdr:colOff>
      <xdr:row>25</xdr:row>
      <xdr:rowOff>28575</xdr:rowOff>
    </xdr:to>
    <xdr:graphicFrame macro="">
      <xdr:nvGraphicFramePr>
        <xdr:cNvPr id="15379" name="Chart 1">
          <a:extLst>
            <a:ext uri="{FF2B5EF4-FFF2-40B4-BE49-F238E27FC236}">
              <a16:creationId xmlns:a16="http://schemas.microsoft.com/office/drawing/2014/main" id="{00000000-0008-0000-0C00-0000133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0</xdr:colOff>
      <xdr:row>28</xdr:row>
      <xdr:rowOff>0</xdr:rowOff>
    </xdr:from>
    <xdr:to>
      <xdr:col>14</xdr:col>
      <xdr:colOff>457200</xdr:colOff>
      <xdr:row>51</xdr:row>
      <xdr:rowOff>28575</xdr:rowOff>
    </xdr:to>
    <xdr:pic>
      <xdr:nvPicPr>
        <xdr:cNvPr id="15380" name="Picture 3">
          <a:extLst>
            <a:ext uri="{FF2B5EF4-FFF2-40B4-BE49-F238E27FC236}">
              <a16:creationId xmlns:a16="http://schemas.microsoft.com/office/drawing/2014/main" id="{00000000-0008-0000-0C00-000014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4581525"/>
          <a:ext cx="5334000" cy="377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2</xdr:row>
      <xdr:rowOff>19050</xdr:rowOff>
    </xdr:from>
    <xdr:to>
      <xdr:col>10</xdr:col>
      <xdr:colOff>57150</xdr:colOff>
      <xdr:row>18</xdr:row>
      <xdr:rowOff>104775</xdr:rowOff>
    </xdr:to>
    <xdr:graphicFrame macro="">
      <xdr:nvGraphicFramePr>
        <xdr:cNvPr id="11284" name="Chart 1">
          <a:extLst>
            <a:ext uri="{FF2B5EF4-FFF2-40B4-BE49-F238E27FC236}">
              <a16:creationId xmlns:a16="http://schemas.microsoft.com/office/drawing/2014/main" id="{00000000-0008-0000-0D00-000014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0</xdr:colOff>
      <xdr:row>19</xdr:row>
      <xdr:rowOff>0</xdr:rowOff>
    </xdr:from>
    <xdr:to>
      <xdr:col>13</xdr:col>
      <xdr:colOff>485775</xdr:colOff>
      <xdr:row>42</xdr:row>
      <xdr:rowOff>38100</xdr:rowOff>
    </xdr:to>
    <xdr:pic>
      <xdr:nvPicPr>
        <xdr:cNvPr id="11285" name="Picture 3">
          <a:extLst>
            <a:ext uri="{FF2B5EF4-FFF2-40B4-BE49-F238E27FC236}">
              <a16:creationId xmlns:a16="http://schemas.microsoft.com/office/drawing/2014/main" id="{00000000-0008-0000-0D00-000015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275" y="3105150"/>
          <a:ext cx="4752975" cy="377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2</xdr:row>
      <xdr:rowOff>19050</xdr:rowOff>
    </xdr:from>
    <xdr:to>
      <xdr:col>10</xdr:col>
      <xdr:colOff>57150</xdr:colOff>
      <xdr:row>18</xdr:row>
      <xdr:rowOff>104775</xdr:rowOff>
    </xdr:to>
    <xdr:graphicFrame macro="">
      <xdr:nvGraphicFramePr>
        <xdr:cNvPr id="12308" name="Chart 1">
          <a:extLst>
            <a:ext uri="{FF2B5EF4-FFF2-40B4-BE49-F238E27FC236}">
              <a16:creationId xmlns:a16="http://schemas.microsoft.com/office/drawing/2014/main" id="{00000000-0008-0000-0E00-0000143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95250</xdr:colOff>
      <xdr:row>19</xdr:row>
      <xdr:rowOff>28575</xdr:rowOff>
    </xdr:from>
    <xdr:to>
      <xdr:col>13</xdr:col>
      <xdr:colOff>495300</xdr:colOff>
      <xdr:row>43</xdr:row>
      <xdr:rowOff>38100</xdr:rowOff>
    </xdr:to>
    <xdr:pic>
      <xdr:nvPicPr>
        <xdr:cNvPr id="12309" name="Picture 3">
          <a:extLst>
            <a:ext uri="{FF2B5EF4-FFF2-40B4-BE49-F238E27FC236}">
              <a16:creationId xmlns:a16="http://schemas.microsoft.com/office/drawing/2014/main" id="{00000000-0008-0000-0E00-000015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2425" y="3133725"/>
          <a:ext cx="4667250" cy="390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4</xdr:row>
      <xdr:rowOff>9525</xdr:rowOff>
    </xdr:from>
    <xdr:to>
      <xdr:col>9</xdr:col>
      <xdr:colOff>257175</xdr:colOff>
      <xdr:row>21</xdr:row>
      <xdr:rowOff>47625</xdr:rowOff>
    </xdr:to>
    <xdr:graphicFrame macro="">
      <xdr:nvGraphicFramePr>
        <xdr:cNvPr id="13331" name="Chart 1">
          <a:extLst>
            <a:ext uri="{FF2B5EF4-FFF2-40B4-BE49-F238E27FC236}">
              <a16:creationId xmlns:a16="http://schemas.microsoft.com/office/drawing/2014/main" id="{00000000-0008-0000-0F00-000013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47625</xdr:colOff>
      <xdr:row>28</xdr:row>
      <xdr:rowOff>9525</xdr:rowOff>
    </xdr:from>
    <xdr:to>
      <xdr:col>12</xdr:col>
      <xdr:colOff>466725</xdr:colOff>
      <xdr:row>51</xdr:row>
      <xdr:rowOff>47625</xdr:rowOff>
    </xdr:to>
    <xdr:pic>
      <xdr:nvPicPr>
        <xdr:cNvPr id="13332" name="Picture 2">
          <a:extLst>
            <a:ext uri="{FF2B5EF4-FFF2-40B4-BE49-F238E27FC236}">
              <a16:creationId xmlns:a16="http://schemas.microsoft.com/office/drawing/2014/main" id="{00000000-0008-0000-0F00-000014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5" y="4610100"/>
          <a:ext cx="4076700" cy="377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1</xdr:row>
      <xdr:rowOff>19050</xdr:rowOff>
    </xdr:from>
    <xdr:to>
      <xdr:col>8</xdr:col>
      <xdr:colOff>533400</xdr:colOff>
      <xdr:row>23</xdr:row>
      <xdr:rowOff>133350</xdr:rowOff>
    </xdr:to>
    <xdr:graphicFrame macro="">
      <xdr:nvGraphicFramePr>
        <xdr:cNvPr id="1045" name="Chart 1">
          <a:extLst>
            <a:ext uri="{FF2B5EF4-FFF2-40B4-BE49-F238E27FC236}">
              <a16:creationId xmlns:a16="http://schemas.microsoft.com/office/drawing/2014/main" id="{00000000-0008-0000-0200-00001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66675</xdr:colOff>
      <xdr:row>25</xdr:row>
      <xdr:rowOff>0</xdr:rowOff>
    </xdr:from>
    <xdr:to>
      <xdr:col>13</xdr:col>
      <xdr:colOff>438150</xdr:colOff>
      <xdr:row>47</xdr:row>
      <xdr:rowOff>0</xdr:rowOff>
    </xdr:to>
    <xdr:pic>
      <xdr:nvPicPr>
        <xdr:cNvPr id="1046" name="Picture 4">
          <a:extLst>
            <a:ext uri="{FF2B5EF4-FFF2-40B4-BE49-F238E27FC236}">
              <a16:creationId xmlns:a16="http://schemas.microsoft.com/office/drawing/2014/main" id="{00000000-0008-0000-02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4076700"/>
          <a:ext cx="4657725" cy="3571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2</xdr:row>
      <xdr:rowOff>114300</xdr:rowOff>
    </xdr:from>
    <xdr:to>
      <xdr:col>10</xdr:col>
      <xdr:colOff>209550</xdr:colOff>
      <xdr:row>25</xdr:row>
      <xdr:rowOff>95250</xdr:rowOff>
    </xdr:to>
    <xdr:graphicFrame macro="">
      <xdr:nvGraphicFramePr>
        <xdr:cNvPr id="14355" name="Chart 1">
          <a:extLst>
            <a:ext uri="{FF2B5EF4-FFF2-40B4-BE49-F238E27FC236}">
              <a16:creationId xmlns:a16="http://schemas.microsoft.com/office/drawing/2014/main" id="{00000000-0008-0000-0300-000013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152400</xdr:colOff>
      <xdr:row>28</xdr:row>
      <xdr:rowOff>57150</xdr:rowOff>
    </xdr:from>
    <xdr:to>
      <xdr:col>12</xdr:col>
      <xdr:colOff>504825</xdr:colOff>
      <xdr:row>46</xdr:row>
      <xdr:rowOff>152400</xdr:rowOff>
    </xdr:to>
    <xdr:graphicFrame macro="">
      <xdr:nvGraphicFramePr>
        <xdr:cNvPr id="14356" name="Chart 2">
          <a:extLst>
            <a:ext uri="{FF2B5EF4-FFF2-40B4-BE49-F238E27FC236}">
              <a16:creationId xmlns:a16="http://schemas.microsoft.com/office/drawing/2014/main" id="{00000000-0008-0000-0300-000014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0</xdr:row>
      <xdr:rowOff>152400</xdr:rowOff>
    </xdr:from>
    <xdr:to>
      <xdr:col>10</xdr:col>
      <xdr:colOff>552450</xdr:colOff>
      <xdr:row>24</xdr:row>
      <xdr:rowOff>19050</xdr:rowOff>
    </xdr:to>
    <xdr:graphicFrame macro="">
      <xdr:nvGraphicFramePr>
        <xdr:cNvPr id="9236" name="Chart 1">
          <a:extLst>
            <a:ext uri="{FF2B5EF4-FFF2-40B4-BE49-F238E27FC236}">
              <a16:creationId xmlns:a16="http://schemas.microsoft.com/office/drawing/2014/main" id="{00000000-0008-0000-0400-000014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190500</xdr:colOff>
      <xdr:row>25</xdr:row>
      <xdr:rowOff>142875</xdr:rowOff>
    </xdr:from>
    <xdr:to>
      <xdr:col>13</xdr:col>
      <xdr:colOff>581025</xdr:colOff>
      <xdr:row>45</xdr:row>
      <xdr:rowOff>38100</xdr:rowOff>
    </xdr:to>
    <xdr:pic>
      <xdr:nvPicPr>
        <xdr:cNvPr id="9237" name="Picture 3">
          <a:extLst>
            <a:ext uri="{FF2B5EF4-FFF2-40B4-BE49-F238E27FC236}">
              <a16:creationId xmlns:a16="http://schemas.microsoft.com/office/drawing/2014/main" id="{00000000-0008-0000-0400-000015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4210050"/>
          <a:ext cx="4657725" cy="315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114300</xdr:rowOff>
    </xdr:from>
    <xdr:to>
      <xdr:col>10</xdr:col>
      <xdr:colOff>228600</xdr:colOff>
      <xdr:row>30</xdr:row>
      <xdr:rowOff>114300</xdr:rowOff>
    </xdr:to>
    <xdr:graphicFrame macro="">
      <xdr:nvGraphicFramePr>
        <xdr:cNvPr id="4116" name="Chart 1">
          <a:extLst>
            <a:ext uri="{FF2B5EF4-FFF2-40B4-BE49-F238E27FC236}">
              <a16:creationId xmlns:a16="http://schemas.microsoft.com/office/drawing/2014/main" id="{00000000-0008-0000-05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133350</xdr:colOff>
      <xdr:row>31</xdr:row>
      <xdr:rowOff>66675</xdr:rowOff>
    </xdr:from>
    <xdr:to>
      <xdr:col>14</xdr:col>
      <xdr:colOff>104775</xdr:colOff>
      <xdr:row>54</xdr:row>
      <xdr:rowOff>104775</xdr:rowOff>
    </xdr:to>
    <xdr:pic>
      <xdr:nvPicPr>
        <xdr:cNvPr id="4117" name="Picture 3">
          <a:extLst>
            <a:ext uri="{FF2B5EF4-FFF2-40B4-BE49-F238E27FC236}">
              <a16:creationId xmlns:a16="http://schemas.microsoft.com/office/drawing/2014/main" id="{00000000-0008-0000-0500-000015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5" y="5114925"/>
          <a:ext cx="4848225" cy="377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0</xdr:row>
      <xdr:rowOff>76200</xdr:rowOff>
    </xdr:from>
    <xdr:to>
      <xdr:col>10</xdr:col>
      <xdr:colOff>590550</xdr:colOff>
      <xdr:row>24</xdr:row>
      <xdr:rowOff>9525</xdr:rowOff>
    </xdr:to>
    <xdr:graphicFrame macro="">
      <xdr:nvGraphicFramePr>
        <xdr:cNvPr id="5140" name="Chart 1">
          <a:extLst>
            <a:ext uri="{FF2B5EF4-FFF2-40B4-BE49-F238E27FC236}">
              <a16:creationId xmlns:a16="http://schemas.microsoft.com/office/drawing/2014/main" id="{00000000-0008-0000-0600-00001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66675</xdr:colOff>
      <xdr:row>27</xdr:row>
      <xdr:rowOff>0</xdr:rowOff>
    </xdr:from>
    <xdr:to>
      <xdr:col>14</xdr:col>
      <xdr:colOff>19050</xdr:colOff>
      <xdr:row>47</xdr:row>
      <xdr:rowOff>104775</xdr:rowOff>
    </xdr:to>
    <xdr:pic>
      <xdr:nvPicPr>
        <xdr:cNvPr id="5141" name="Picture 3">
          <a:extLst>
            <a:ext uri="{FF2B5EF4-FFF2-40B4-BE49-F238E27FC236}">
              <a16:creationId xmlns:a16="http://schemas.microsoft.com/office/drawing/2014/main" id="{00000000-0008-0000-0600-000015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4400550"/>
          <a:ext cx="4829175" cy="335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0</xdr:row>
      <xdr:rowOff>142875</xdr:rowOff>
    </xdr:from>
    <xdr:to>
      <xdr:col>9</xdr:col>
      <xdr:colOff>561975</xdr:colOff>
      <xdr:row>17</xdr:row>
      <xdr:rowOff>28575</xdr:rowOff>
    </xdr:to>
    <xdr:graphicFrame macro="">
      <xdr:nvGraphicFramePr>
        <xdr:cNvPr id="6165" name="Chart 2">
          <a:extLst>
            <a:ext uri="{FF2B5EF4-FFF2-40B4-BE49-F238E27FC236}">
              <a16:creationId xmlns:a16="http://schemas.microsoft.com/office/drawing/2014/main" id="{00000000-0008-0000-0700-000015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190500</xdr:colOff>
      <xdr:row>23</xdr:row>
      <xdr:rowOff>0</xdr:rowOff>
    </xdr:from>
    <xdr:to>
      <xdr:col>12</xdr:col>
      <xdr:colOff>514350</xdr:colOff>
      <xdr:row>44</xdr:row>
      <xdr:rowOff>152400</xdr:rowOff>
    </xdr:to>
    <xdr:pic>
      <xdr:nvPicPr>
        <xdr:cNvPr id="6166" name="Picture 4">
          <a:extLst>
            <a:ext uri="{FF2B5EF4-FFF2-40B4-BE49-F238E27FC236}">
              <a16:creationId xmlns:a16="http://schemas.microsoft.com/office/drawing/2014/main" id="{00000000-0008-0000-0700-000016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752850"/>
          <a:ext cx="3981450" cy="356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0</xdr:row>
      <xdr:rowOff>57150</xdr:rowOff>
    </xdr:from>
    <xdr:to>
      <xdr:col>9</xdr:col>
      <xdr:colOff>552450</xdr:colOff>
      <xdr:row>23</xdr:row>
      <xdr:rowOff>28575</xdr:rowOff>
    </xdr:to>
    <xdr:graphicFrame macro="">
      <xdr:nvGraphicFramePr>
        <xdr:cNvPr id="3092" name="Chart 1">
          <a:extLst>
            <a:ext uri="{FF2B5EF4-FFF2-40B4-BE49-F238E27FC236}">
              <a16:creationId xmlns:a16="http://schemas.microsoft.com/office/drawing/2014/main" id="{00000000-0008-0000-08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285750</xdr:colOff>
      <xdr:row>24</xdr:row>
      <xdr:rowOff>19050</xdr:rowOff>
    </xdr:from>
    <xdr:to>
      <xdr:col>12</xdr:col>
      <xdr:colOff>466725</xdr:colOff>
      <xdr:row>48</xdr:row>
      <xdr:rowOff>19050</xdr:rowOff>
    </xdr:to>
    <xdr:pic>
      <xdr:nvPicPr>
        <xdr:cNvPr id="3093" name="Picture 3">
          <a:extLst>
            <a:ext uri="{FF2B5EF4-FFF2-40B4-BE49-F238E27FC236}">
              <a16:creationId xmlns:a16="http://schemas.microsoft.com/office/drawing/2014/main" id="{00000000-0008-0000-0800-00001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3933825"/>
          <a:ext cx="3819525" cy="389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1</xdr:row>
      <xdr:rowOff>57150</xdr:rowOff>
    </xdr:from>
    <xdr:to>
      <xdr:col>11</xdr:col>
      <xdr:colOff>285750</xdr:colOff>
      <xdr:row>23</xdr:row>
      <xdr:rowOff>85725</xdr:rowOff>
    </xdr:to>
    <xdr:graphicFrame macro="">
      <xdr:nvGraphicFramePr>
        <xdr:cNvPr id="8211" name="Chart 1">
          <a:extLst>
            <a:ext uri="{FF2B5EF4-FFF2-40B4-BE49-F238E27FC236}">
              <a16:creationId xmlns:a16="http://schemas.microsoft.com/office/drawing/2014/main" id="{00000000-0008-0000-0900-000013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95250</xdr:colOff>
      <xdr:row>24</xdr:row>
      <xdr:rowOff>19050</xdr:rowOff>
    </xdr:from>
    <xdr:to>
      <xdr:col>12</xdr:col>
      <xdr:colOff>428625</xdr:colOff>
      <xdr:row>47</xdr:row>
      <xdr:rowOff>133350</xdr:rowOff>
    </xdr:to>
    <xdr:pic>
      <xdr:nvPicPr>
        <xdr:cNvPr id="8212" name="Picture 2">
          <a:extLst>
            <a:ext uri="{FF2B5EF4-FFF2-40B4-BE49-F238E27FC236}">
              <a16:creationId xmlns:a16="http://schemas.microsoft.com/office/drawing/2014/main" id="{00000000-0008-0000-0900-000014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350" y="3924300"/>
          <a:ext cx="3990975" cy="385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gussman/Documents/BGI/Cyclone%20Design/SCC%202.35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gussman/Documents/BGI/Cyclone%20Design/GK%204.162/GK%204.16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wner/My%20Documents/My%20Documents/Cyclone%20Design/SCC%200.732-1.19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P_Administrator/My%20Documents/BGI/Cyclone%20Design/H-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gussman/Documents/BGI/Cyclone%20Design/MSHA/0.8%20D5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gussman/Documents/BGI/Cyclone%20Design/MSHA/MSHA%20D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wner/My%20Documents/My%20Documents/APS%203320/1.062%20Comb.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wner/My%20Documents/My%20Documents/Cyclone%20Design/SCC%202.65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CC%20D5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wner/My%20Documents/My%20Documents/Cyclone%20Design/KT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wner/My%20Documents/My%20Documents/Cyclone%20Design/KTL%20shrou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HP_Administrator/My%20Documents/BGI/Cyclone%20Design/GK2.69%20re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A2">
            <v>2</v>
          </cell>
          <cell r="B2">
            <v>12.494999999999999</v>
          </cell>
        </row>
        <row r="3">
          <cell r="A3">
            <v>3</v>
          </cell>
          <cell r="B3">
            <v>7.8040000000000003</v>
          </cell>
        </row>
        <row r="4">
          <cell r="A4">
            <v>4</v>
          </cell>
          <cell r="B4">
            <v>5.5880000000000001</v>
          </cell>
        </row>
        <row r="5">
          <cell r="A5">
            <v>5</v>
          </cell>
          <cell r="B5">
            <v>4.3120000000000003</v>
          </cell>
        </row>
        <row r="6">
          <cell r="A6">
            <v>6</v>
          </cell>
          <cell r="B6">
            <v>3.49</v>
          </cell>
        </row>
        <row r="7">
          <cell r="A7">
            <v>7</v>
          </cell>
          <cell r="B7">
            <v>2.9180000000000001</v>
          </cell>
        </row>
        <row r="8">
          <cell r="A8">
            <v>8</v>
          </cell>
          <cell r="B8">
            <v>2.4990000000000001</v>
          </cell>
        </row>
        <row r="9">
          <cell r="A9">
            <v>9</v>
          </cell>
          <cell r="B9">
            <v>2.1789999999999998</v>
          </cell>
        </row>
        <row r="10">
          <cell r="A10">
            <v>10</v>
          </cell>
          <cell r="B10">
            <v>1.929</v>
          </cell>
        </row>
        <row r="11">
          <cell r="A11">
            <v>11</v>
          </cell>
          <cell r="B11">
            <v>1.7270000000000001</v>
          </cell>
        </row>
        <row r="12">
          <cell r="A12">
            <v>12</v>
          </cell>
          <cell r="B12">
            <v>1.5609999999999999</v>
          </cell>
        </row>
        <row r="13">
          <cell r="A13">
            <v>13</v>
          </cell>
          <cell r="B13">
            <v>1.4219999999999999</v>
          </cell>
        </row>
        <row r="14">
          <cell r="A14">
            <v>14</v>
          </cell>
          <cell r="B14">
            <v>1.3049999999999999</v>
          </cell>
        </row>
        <row r="15">
          <cell r="A15">
            <v>15</v>
          </cell>
          <cell r="B15">
            <v>1.204</v>
          </cell>
        </row>
        <row r="16">
          <cell r="A16">
            <v>16</v>
          </cell>
          <cell r="B16">
            <v>1.117</v>
          </cell>
        </row>
        <row r="17">
          <cell r="A17">
            <v>17</v>
          </cell>
          <cell r="B17">
            <v>1.042</v>
          </cell>
        </row>
        <row r="18">
          <cell r="A18">
            <v>18</v>
          </cell>
          <cell r="B18">
            <v>0.97499999999999998</v>
          </cell>
        </row>
      </sheetData>
      <sheetData sheetId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ual"/>
      <sheetName val="Model"/>
      <sheetName val="Sheet2"/>
      <sheetName val="Sheet3"/>
    </sheetNames>
    <sheetDataSet>
      <sheetData sheetId="0">
        <row r="4">
          <cell r="A4">
            <v>7</v>
          </cell>
          <cell r="B4">
            <v>4.8899999999999997</v>
          </cell>
        </row>
        <row r="5">
          <cell r="A5">
            <v>8</v>
          </cell>
          <cell r="B5">
            <v>4.34</v>
          </cell>
        </row>
        <row r="6">
          <cell r="A6">
            <v>8.5</v>
          </cell>
          <cell r="B6">
            <v>4.09</v>
          </cell>
        </row>
        <row r="7">
          <cell r="A7">
            <v>9</v>
          </cell>
          <cell r="B7">
            <v>3.91</v>
          </cell>
        </row>
        <row r="8">
          <cell r="A8">
            <v>9.5</v>
          </cell>
          <cell r="B8">
            <v>3.67</v>
          </cell>
        </row>
        <row r="9">
          <cell r="A9">
            <v>10</v>
          </cell>
          <cell r="B9">
            <v>3.47</v>
          </cell>
        </row>
      </sheetData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C0.732"/>
      <sheetName val="SCC1.197"/>
      <sheetName val="Sheet3"/>
    </sheetNames>
    <sheetDataSet>
      <sheetData sheetId="0">
        <row r="2">
          <cell r="A2">
            <v>0.5</v>
          </cell>
          <cell r="B2">
            <v>5.0060000000000002</v>
          </cell>
        </row>
        <row r="3">
          <cell r="A3">
            <v>1</v>
          </cell>
          <cell r="B3">
            <v>2.2389999999999999</v>
          </cell>
        </row>
        <row r="4">
          <cell r="A4">
            <v>1.5</v>
          </cell>
          <cell r="B4">
            <v>1.3979999999999999</v>
          </cell>
        </row>
        <row r="5">
          <cell r="A5">
            <v>2</v>
          </cell>
          <cell r="B5">
            <v>1.0009999999999999</v>
          </cell>
        </row>
        <row r="6">
          <cell r="A6">
            <v>2.5</v>
          </cell>
          <cell r="B6">
            <v>0.77300000000000002</v>
          </cell>
        </row>
        <row r="7">
          <cell r="A7">
            <v>3</v>
          </cell>
          <cell r="B7">
            <v>0.625</v>
          </cell>
        </row>
        <row r="8">
          <cell r="A8">
            <v>3.5</v>
          </cell>
          <cell r="B8">
            <v>0.52300000000000002</v>
          </cell>
        </row>
        <row r="9">
          <cell r="A9">
            <v>4</v>
          </cell>
          <cell r="B9">
            <v>0.44800000000000001</v>
          </cell>
        </row>
      </sheetData>
      <sheetData sheetId="1">
        <row r="2">
          <cell r="A2">
            <v>1</v>
          </cell>
          <cell r="B2">
            <v>6.4790000000000001</v>
          </cell>
        </row>
        <row r="3">
          <cell r="A3">
            <v>2</v>
          </cell>
          <cell r="B3">
            <v>2.8969999999999998</v>
          </cell>
        </row>
        <row r="4">
          <cell r="A4">
            <v>3</v>
          </cell>
          <cell r="B4">
            <v>1.81</v>
          </cell>
        </row>
        <row r="5">
          <cell r="A5">
            <v>4</v>
          </cell>
          <cell r="B5">
            <v>1.296</v>
          </cell>
        </row>
        <row r="6">
          <cell r="A6">
            <v>5</v>
          </cell>
          <cell r="B6">
            <v>1</v>
          </cell>
        </row>
        <row r="7">
          <cell r="A7">
            <v>6</v>
          </cell>
          <cell r="B7">
            <v>0.80900000000000005</v>
          </cell>
        </row>
      </sheetData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6">
          <cell r="A6">
            <v>1</v>
          </cell>
          <cell r="B6">
            <v>10.403969153340148</v>
          </cell>
        </row>
        <row r="7">
          <cell r="A7">
            <v>2</v>
          </cell>
          <cell r="B7">
            <v>4.853623231498811</v>
          </cell>
        </row>
        <row r="8">
          <cell r="A8">
            <v>3</v>
          </cell>
          <cell r="B8">
            <v>3.1071747262858125</v>
          </cell>
        </row>
        <row r="9">
          <cell r="A9">
            <v>4</v>
          </cell>
          <cell r="B9">
            <v>2.2642953017389416</v>
          </cell>
        </row>
        <row r="10">
          <cell r="A10">
            <v>5</v>
          </cell>
          <cell r="B10">
            <v>1.7714628585826466</v>
          </cell>
        </row>
        <row r="11">
          <cell r="A11">
            <v>6</v>
          </cell>
          <cell r="B11">
            <v>1.449548265047006</v>
          </cell>
        </row>
        <row r="12">
          <cell r="A12">
            <v>7</v>
          </cell>
          <cell r="B12">
            <v>1.2234640477799945</v>
          </cell>
        </row>
        <row r="13">
          <cell r="A13">
            <v>8</v>
          </cell>
          <cell r="B13">
            <v>1.0563311095521108</v>
          </cell>
        </row>
        <row r="14">
          <cell r="A14">
            <v>9</v>
          </cell>
          <cell r="B14">
            <v>0.92796649407305942</v>
          </cell>
        </row>
        <row r="15">
          <cell r="A15">
            <v>10</v>
          </cell>
          <cell r="B15">
            <v>0.82641664516985569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C"/>
      <sheetName val="ESC"/>
      <sheetName val="Sheet3"/>
    </sheetNames>
    <sheetDataSet>
      <sheetData sheetId="0"/>
      <sheetData sheetId="1"/>
      <sheetData sheetId="2">
        <row r="4">
          <cell r="A4">
            <v>1.5</v>
          </cell>
          <cell r="B4">
            <v>1.25</v>
          </cell>
        </row>
        <row r="5">
          <cell r="A5">
            <v>1.6</v>
          </cell>
          <cell r="B5">
            <v>1.1599999999999999</v>
          </cell>
        </row>
        <row r="6">
          <cell r="A6">
            <v>1.7</v>
          </cell>
          <cell r="B6">
            <v>1.081</v>
          </cell>
        </row>
        <row r="7">
          <cell r="A7">
            <v>1.8</v>
          </cell>
          <cell r="B7">
            <v>1.0109999999999999</v>
          </cell>
        </row>
        <row r="8">
          <cell r="A8">
            <v>1.9</v>
          </cell>
          <cell r="B8">
            <v>0.95</v>
          </cell>
        </row>
        <row r="9">
          <cell r="A9">
            <v>2</v>
          </cell>
          <cell r="B9">
            <v>0.89500000000000002</v>
          </cell>
        </row>
        <row r="10">
          <cell r="A10">
            <v>2.1</v>
          </cell>
          <cell r="B10">
            <v>0.84599999999999997</v>
          </cell>
        </row>
        <row r="11">
          <cell r="A11">
            <v>2.2000000000000002</v>
          </cell>
          <cell r="B11">
            <v>0.80100000000000005</v>
          </cell>
        </row>
        <row r="12">
          <cell r="A12">
            <v>2.2999999999999998</v>
          </cell>
          <cell r="B12">
            <v>0.76100000000000001</v>
          </cell>
        </row>
        <row r="13">
          <cell r="A13">
            <v>2.4</v>
          </cell>
          <cell r="B13">
            <v>0.72399999999999998</v>
          </cell>
        </row>
        <row r="14">
          <cell r="A14">
            <v>2.5</v>
          </cell>
          <cell r="B14">
            <v>0.69099999999999995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C-ESCC"/>
    </sheetNames>
    <sheetDataSet>
      <sheetData sheetId="0">
        <row r="15">
          <cell r="D15">
            <v>1.571074314110064</v>
          </cell>
          <cell r="E15">
            <v>4.8</v>
          </cell>
        </row>
        <row r="16">
          <cell r="D16">
            <v>1.758665626644881</v>
          </cell>
          <cell r="E16">
            <v>6.3</v>
          </cell>
        </row>
        <row r="17">
          <cell r="D17">
            <v>1.9686195193745271</v>
          </cell>
          <cell r="E17">
            <v>8.1999999999999993</v>
          </cell>
        </row>
        <row r="18">
          <cell r="D18">
            <v>2.176236465799116</v>
          </cell>
          <cell r="E18">
            <v>10.3</v>
          </cell>
        </row>
        <row r="19">
          <cell r="D19">
            <v>2.3966513732996644</v>
          </cell>
          <cell r="E19">
            <v>13.1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f."/>
      <sheetName val="Combined"/>
    </sheetNames>
    <sheetDataSet>
      <sheetData sheetId="0"/>
      <sheetData sheetId="1">
        <row r="6">
          <cell r="A6">
            <v>4</v>
          </cell>
          <cell r="B6">
            <v>0.86</v>
          </cell>
        </row>
        <row r="7">
          <cell r="A7">
            <v>1.8</v>
          </cell>
          <cell r="B7">
            <v>1.97</v>
          </cell>
        </row>
        <row r="8">
          <cell r="A8">
            <v>4</v>
          </cell>
          <cell r="B8">
            <v>0.85</v>
          </cell>
        </row>
        <row r="9">
          <cell r="A9">
            <v>1.2</v>
          </cell>
          <cell r="B9">
            <v>3.1</v>
          </cell>
        </row>
        <row r="10">
          <cell r="A10">
            <v>1.8</v>
          </cell>
          <cell r="B10">
            <v>2.1</v>
          </cell>
        </row>
        <row r="11">
          <cell r="A11">
            <v>1.2</v>
          </cell>
          <cell r="B11">
            <v>3.2</v>
          </cell>
        </row>
        <row r="12">
          <cell r="A12">
            <v>1.5</v>
          </cell>
          <cell r="B12">
            <v>2.4500000000000002</v>
          </cell>
        </row>
        <row r="13">
          <cell r="A13">
            <v>1.6</v>
          </cell>
          <cell r="B13">
            <v>2.4500000000000002</v>
          </cell>
        </row>
        <row r="14">
          <cell r="A14">
            <v>1</v>
          </cell>
          <cell r="B14">
            <v>4.2</v>
          </cell>
        </row>
        <row r="15">
          <cell r="A15">
            <v>1.1000000000000001</v>
          </cell>
          <cell r="B15">
            <v>3.75</v>
          </cell>
        </row>
        <row r="16">
          <cell r="A16">
            <v>3</v>
          </cell>
          <cell r="B16">
            <v>1.1399999999999999</v>
          </cell>
        </row>
        <row r="17">
          <cell r="A17">
            <v>4</v>
          </cell>
          <cell r="B17">
            <v>0.86</v>
          </cell>
        </row>
        <row r="18">
          <cell r="A18">
            <v>3.5</v>
          </cell>
          <cell r="B18">
            <v>1.01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A2">
            <v>5</v>
          </cell>
          <cell r="B2">
            <v>5.548</v>
          </cell>
        </row>
        <row r="3">
          <cell r="A3">
            <v>6</v>
          </cell>
          <cell r="B3">
            <v>4.4889999999999999</v>
          </cell>
        </row>
        <row r="4">
          <cell r="A4">
            <v>7</v>
          </cell>
          <cell r="B4">
            <v>3.754</v>
          </cell>
        </row>
        <row r="5">
          <cell r="A5">
            <v>8</v>
          </cell>
          <cell r="B5">
            <v>3.2149999999999999</v>
          </cell>
        </row>
        <row r="6">
          <cell r="A6">
            <v>9</v>
          </cell>
          <cell r="B6">
            <v>2.8039999999999998</v>
          </cell>
        </row>
        <row r="7">
          <cell r="A7">
            <v>10</v>
          </cell>
          <cell r="B7">
            <v>2.4809999999999999</v>
          </cell>
        </row>
        <row r="8">
          <cell r="A8">
            <v>11</v>
          </cell>
          <cell r="B8">
            <v>2.2210000000000001</v>
          </cell>
        </row>
        <row r="9">
          <cell r="A9">
            <v>12</v>
          </cell>
          <cell r="B9">
            <v>2.008</v>
          </cell>
        </row>
        <row r="10">
          <cell r="A10">
            <v>13</v>
          </cell>
          <cell r="B10">
            <v>1.829</v>
          </cell>
        </row>
        <row r="11">
          <cell r="A11">
            <v>14</v>
          </cell>
          <cell r="B11">
            <v>1.679</v>
          </cell>
        </row>
        <row r="12">
          <cell r="A12">
            <v>15</v>
          </cell>
          <cell r="B12">
            <v>1.5489999999999999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B3" t="str">
            <v>D50</v>
          </cell>
        </row>
        <row r="4">
          <cell r="A4">
            <v>10</v>
          </cell>
          <cell r="B4">
            <v>4.5250000000000004</v>
          </cell>
        </row>
        <row r="5">
          <cell r="A5">
            <v>11</v>
          </cell>
          <cell r="B5">
            <v>4.0510000000000002</v>
          </cell>
        </row>
        <row r="6">
          <cell r="A6">
            <v>12</v>
          </cell>
          <cell r="B6">
            <v>3.6219999999999999</v>
          </cell>
        </row>
        <row r="7">
          <cell r="A7">
            <v>13</v>
          </cell>
          <cell r="B7">
            <v>3.3370000000000002</v>
          </cell>
        </row>
        <row r="8">
          <cell r="A8">
            <v>14</v>
          </cell>
          <cell r="B8">
            <v>3.0619999999999998</v>
          </cell>
        </row>
        <row r="9">
          <cell r="A9">
            <v>15</v>
          </cell>
          <cell r="B9">
            <v>2.8260000000000001</v>
          </cell>
        </row>
        <row r="10">
          <cell r="A10">
            <v>16</v>
          </cell>
          <cell r="B10">
            <v>2.6219999999999999</v>
          </cell>
        </row>
        <row r="11">
          <cell r="A11">
            <v>17</v>
          </cell>
          <cell r="B11">
            <v>2.444</v>
          </cell>
        </row>
        <row r="12">
          <cell r="A12">
            <v>18</v>
          </cell>
          <cell r="B12">
            <v>2.2869999999999999</v>
          </cell>
        </row>
        <row r="13">
          <cell r="A13">
            <v>19</v>
          </cell>
          <cell r="B13">
            <v>2.1480000000000001</v>
          </cell>
        </row>
        <row r="14">
          <cell r="A14">
            <v>20</v>
          </cell>
          <cell r="B14">
            <v>2.024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A4">
            <v>1.5</v>
          </cell>
          <cell r="B4">
            <v>7.6680000000000001</v>
          </cell>
        </row>
        <row r="5">
          <cell r="A5">
            <v>2</v>
          </cell>
          <cell r="B5">
            <v>5.5190000000000001</v>
          </cell>
        </row>
        <row r="6">
          <cell r="A6">
            <v>2.5</v>
          </cell>
          <cell r="B6">
            <v>4.2770000000000001</v>
          </cell>
        </row>
        <row r="7">
          <cell r="A7">
            <v>3</v>
          </cell>
          <cell r="B7">
            <v>3.472</v>
          </cell>
        </row>
        <row r="8">
          <cell r="A8">
            <v>3.5</v>
          </cell>
          <cell r="B8">
            <v>2.911</v>
          </cell>
        </row>
        <row r="9">
          <cell r="A9">
            <v>4</v>
          </cell>
          <cell r="B9">
            <v>2.4990000000000001</v>
          </cell>
        </row>
        <row r="10">
          <cell r="A10">
            <v>4.5</v>
          </cell>
          <cell r="B10">
            <v>2.1840000000000002</v>
          </cell>
        </row>
        <row r="11">
          <cell r="A11">
            <v>5</v>
          </cell>
          <cell r="B11">
            <v>1.9370000000000001</v>
          </cell>
        </row>
      </sheetData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A4">
            <v>1.5</v>
          </cell>
          <cell r="B4">
            <v>5.5190000000000001</v>
          </cell>
        </row>
        <row r="5">
          <cell r="A5">
            <v>2</v>
          </cell>
          <cell r="B5">
            <v>4.2770000000000001</v>
          </cell>
        </row>
        <row r="6">
          <cell r="A6">
            <v>2.5</v>
          </cell>
          <cell r="B6">
            <v>3.472</v>
          </cell>
        </row>
        <row r="7">
          <cell r="A7">
            <v>3</v>
          </cell>
          <cell r="B7">
            <v>2.911</v>
          </cell>
        </row>
        <row r="8">
          <cell r="A8">
            <v>3.5</v>
          </cell>
          <cell r="B8">
            <v>2.5</v>
          </cell>
        </row>
        <row r="9">
          <cell r="A9">
            <v>4</v>
          </cell>
          <cell r="B9">
            <v>2.1800000000000002</v>
          </cell>
        </row>
        <row r="10">
          <cell r="A10">
            <v>4.5</v>
          </cell>
          <cell r="B10">
            <v>1.94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A4">
            <v>1.6</v>
          </cell>
          <cell r="B4">
            <v>10</v>
          </cell>
        </row>
        <row r="5">
          <cell r="A5">
            <v>2.7</v>
          </cell>
          <cell r="B5">
            <v>6.22</v>
          </cell>
        </row>
        <row r="6">
          <cell r="A6">
            <v>4.2</v>
          </cell>
          <cell r="B6">
            <v>4</v>
          </cell>
        </row>
        <row r="7">
          <cell r="A7">
            <v>5</v>
          </cell>
          <cell r="B7">
            <v>3.47</v>
          </cell>
        </row>
        <row r="8">
          <cell r="A8">
            <v>6</v>
          </cell>
          <cell r="B8">
            <v>2.82</v>
          </cell>
        </row>
        <row r="9">
          <cell r="A9">
            <v>7</v>
          </cell>
          <cell r="B9">
            <v>2.36</v>
          </cell>
        </row>
        <row r="10">
          <cell r="A10">
            <v>8</v>
          </cell>
          <cell r="B10">
            <v>2.0299999999999998</v>
          </cell>
        </row>
        <row r="11">
          <cell r="A11">
            <v>9</v>
          </cell>
          <cell r="B11">
            <v>1.77</v>
          </cell>
        </row>
        <row r="12">
          <cell r="A12">
            <v>10</v>
          </cell>
          <cell r="B12">
            <v>1.57</v>
          </cell>
        </row>
        <row r="13">
          <cell r="A13">
            <v>11</v>
          </cell>
          <cell r="B13">
            <v>1.41</v>
          </cell>
        </row>
        <row r="14">
          <cell r="A14">
            <v>12</v>
          </cell>
          <cell r="B14">
            <v>1.27</v>
          </cell>
        </row>
        <row r="15">
          <cell r="A15">
            <v>13</v>
          </cell>
          <cell r="B15">
            <v>1.1599999999999999</v>
          </cell>
        </row>
        <row r="16">
          <cell r="A16">
            <v>14</v>
          </cell>
          <cell r="B16">
            <v>1.07</v>
          </cell>
        </row>
        <row r="17">
          <cell r="A17">
            <v>15</v>
          </cell>
          <cell r="B17">
            <v>0.98799999999999999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zoomScaleNormal="100" workbookViewId="0">
      <selection activeCell="G19" sqref="G19"/>
    </sheetView>
  </sheetViews>
  <sheetFormatPr defaultRowHeight="12.75"/>
  <cols>
    <col min="1" max="1" width="15.140625" customWidth="1"/>
    <col min="2" max="2" width="34.28515625" customWidth="1"/>
    <col min="3" max="3" width="7.7109375" customWidth="1"/>
    <col min="4" max="4" width="9.42578125" customWidth="1"/>
    <col min="5" max="5" width="11.5703125" customWidth="1"/>
    <col min="6" max="6" width="10.140625" customWidth="1"/>
    <col min="7" max="7" width="72.5703125" customWidth="1"/>
  </cols>
  <sheetData>
    <row r="1" spans="1:7">
      <c r="A1" s="4" t="s">
        <v>0</v>
      </c>
      <c r="E1" t="s">
        <v>1</v>
      </c>
      <c r="F1" s="6">
        <v>2014</v>
      </c>
    </row>
    <row r="4" spans="1:7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5"/>
    </row>
    <row r="5" spans="1:7">
      <c r="A5" s="7" t="s">
        <v>8</v>
      </c>
      <c r="B5" s="5" t="s">
        <v>9</v>
      </c>
      <c r="C5" s="5">
        <v>2.5</v>
      </c>
      <c r="D5" s="5">
        <v>16.670000000000002</v>
      </c>
      <c r="E5" s="5">
        <v>1.157</v>
      </c>
      <c r="F5" s="3" t="s">
        <v>10</v>
      </c>
      <c r="G5" s="7"/>
    </row>
    <row r="6" spans="1:7">
      <c r="A6" s="7" t="s">
        <v>11</v>
      </c>
      <c r="B6" s="5" t="s">
        <v>12</v>
      </c>
      <c r="C6" s="5" t="s">
        <v>13</v>
      </c>
      <c r="D6" s="5" t="s">
        <v>14</v>
      </c>
      <c r="E6" s="5">
        <v>1.21</v>
      </c>
      <c r="F6" s="3" t="s">
        <v>10</v>
      </c>
      <c r="G6" s="7"/>
    </row>
    <row r="7" spans="1:7">
      <c r="A7" s="7" t="s">
        <v>15</v>
      </c>
      <c r="B7" s="5" t="s">
        <v>16</v>
      </c>
      <c r="C7" s="5">
        <v>2.5</v>
      </c>
      <c r="D7" s="5">
        <v>5</v>
      </c>
      <c r="E7" s="5" t="s">
        <v>17</v>
      </c>
      <c r="F7" s="3" t="s">
        <v>10</v>
      </c>
      <c r="G7" s="7"/>
    </row>
    <row r="8" spans="1:7">
      <c r="A8" s="7" t="s">
        <v>18</v>
      </c>
      <c r="B8" s="5" t="s">
        <v>16</v>
      </c>
      <c r="C8" s="5">
        <v>2.5</v>
      </c>
      <c r="D8" s="5">
        <v>10</v>
      </c>
      <c r="E8" s="5" t="s">
        <v>19</v>
      </c>
      <c r="F8" s="3" t="s">
        <v>10</v>
      </c>
      <c r="G8" s="7"/>
    </row>
    <row r="9" spans="1:7">
      <c r="A9" s="7" t="s">
        <v>20</v>
      </c>
      <c r="B9" s="5" t="s">
        <v>21</v>
      </c>
      <c r="C9" s="5">
        <v>1</v>
      </c>
      <c r="D9" s="5">
        <v>16.670000000000002</v>
      </c>
      <c r="E9" s="5">
        <v>1.17</v>
      </c>
      <c r="F9" s="3" t="s">
        <v>10</v>
      </c>
      <c r="G9" s="9"/>
    </row>
    <row r="10" spans="1:7">
      <c r="A10" s="7" t="s">
        <v>22</v>
      </c>
      <c r="B10" s="5" t="s">
        <v>23</v>
      </c>
      <c r="C10" s="5">
        <v>2.5</v>
      </c>
      <c r="D10" s="5">
        <v>16.670000000000002</v>
      </c>
      <c r="E10" s="5">
        <v>1.19</v>
      </c>
      <c r="F10" s="3" t="s">
        <v>10</v>
      </c>
      <c r="G10" s="7"/>
    </row>
    <row r="11" spans="1:7">
      <c r="A11" s="7" t="s">
        <v>24</v>
      </c>
      <c r="B11" s="5" t="s">
        <v>25</v>
      </c>
      <c r="C11" s="5">
        <v>2.5</v>
      </c>
      <c r="D11" s="5">
        <v>4</v>
      </c>
      <c r="E11" s="5">
        <v>1.32</v>
      </c>
      <c r="F11" s="3" t="s">
        <v>10</v>
      </c>
      <c r="G11" s="7"/>
    </row>
    <row r="12" spans="1:7">
      <c r="A12" s="7" t="s">
        <v>26</v>
      </c>
      <c r="B12" s="5" t="s">
        <v>25</v>
      </c>
      <c r="C12" s="5">
        <v>2.5</v>
      </c>
      <c r="D12" s="5">
        <v>3.5</v>
      </c>
      <c r="E12" s="5">
        <v>1.32</v>
      </c>
      <c r="F12" s="3" t="s">
        <v>10</v>
      </c>
      <c r="G12" s="7"/>
    </row>
    <row r="13" spans="1:7">
      <c r="A13" s="7" t="s">
        <v>27</v>
      </c>
      <c r="B13" s="5" t="s">
        <v>28</v>
      </c>
      <c r="C13" s="31" t="s">
        <v>29</v>
      </c>
      <c r="D13" s="31" t="s">
        <v>30</v>
      </c>
      <c r="E13" s="5"/>
      <c r="F13" s="3" t="s">
        <v>10</v>
      </c>
      <c r="G13" s="8"/>
    </row>
    <row r="14" spans="1:7">
      <c r="A14" s="7" t="s">
        <v>31</v>
      </c>
      <c r="B14" s="5" t="s">
        <v>32</v>
      </c>
      <c r="C14" s="5">
        <v>4</v>
      </c>
      <c r="D14" s="5">
        <v>2.2000000000000002</v>
      </c>
      <c r="E14" s="4" t="s">
        <v>33</v>
      </c>
      <c r="F14" s="3" t="s">
        <v>10</v>
      </c>
      <c r="G14" s="7"/>
    </row>
    <row r="15" spans="1:7">
      <c r="A15" s="7" t="s">
        <v>34</v>
      </c>
      <c r="B15" s="5" t="s">
        <v>16</v>
      </c>
      <c r="C15" s="5">
        <v>1</v>
      </c>
      <c r="D15" s="5">
        <v>2</v>
      </c>
      <c r="E15" s="4" t="s">
        <v>35</v>
      </c>
      <c r="F15" s="3" t="s">
        <v>10</v>
      </c>
      <c r="G15" s="7"/>
    </row>
    <row r="16" spans="1:7">
      <c r="A16" s="7" t="s">
        <v>36</v>
      </c>
      <c r="B16" s="5" t="s">
        <v>16</v>
      </c>
      <c r="C16" s="4" t="s">
        <v>37</v>
      </c>
      <c r="D16" s="4" t="s">
        <v>38</v>
      </c>
      <c r="E16" s="4" t="s">
        <v>39</v>
      </c>
      <c r="F16" s="3" t="s">
        <v>10</v>
      </c>
      <c r="G16" s="7"/>
    </row>
    <row r="17" spans="1:7">
      <c r="A17" s="69" t="s">
        <v>40</v>
      </c>
      <c r="B17" s="5" t="s">
        <v>16</v>
      </c>
      <c r="C17" s="4" t="s">
        <v>37</v>
      </c>
      <c r="D17" s="4" t="s">
        <v>41</v>
      </c>
      <c r="E17" s="4"/>
      <c r="F17" s="3" t="s">
        <v>10</v>
      </c>
      <c r="G17" s="7"/>
    </row>
    <row r="18" spans="1:7">
      <c r="A18" s="60" t="s">
        <v>42</v>
      </c>
      <c r="B18" s="5" t="s">
        <v>43</v>
      </c>
      <c r="C18" s="5">
        <v>0.8</v>
      </c>
      <c r="D18" s="5">
        <v>2.2000000000000002</v>
      </c>
      <c r="E18" s="5">
        <v>1.2</v>
      </c>
      <c r="F18" s="3" t="s">
        <v>10</v>
      </c>
      <c r="G18" s="60"/>
    </row>
    <row r="19" spans="1:7">
      <c r="A19" s="60" t="s">
        <v>44</v>
      </c>
      <c r="B19" s="5" t="s">
        <v>45</v>
      </c>
      <c r="C19" s="5">
        <v>4</v>
      </c>
      <c r="D19" s="5">
        <v>9.5</v>
      </c>
      <c r="E19" s="5">
        <v>1.27</v>
      </c>
      <c r="F19" s="3" t="s">
        <v>10</v>
      </c>
      <c r="G19" s="60"/>
    </row>
    <row r="21" spans="1:7">
      <c r="A21" s="24" t="s">
        <v>46</v>
      </c>
      <c r="D21" s="2"/>
    </row>
    <row r="22" spans="1:7">
      <c r="A22" t="s">
        <v>47</v>
      </c>
    </row>
    <row r="23" spans="1:7">
      <c r="A23" t="s">
        <v>48</v>
      </c>
    </row>
    <row r="24" spans="1:7">
      <c r="A24" s="6" t="s">
        <v>49</v>
      </c>
    </row>
    <row r="25" spans="1:7">
      <c r="A25" t="s">
        <v>50</v>
      </c>
    </row>
    <row r="26" spans="1:7">
      <c r="A26" t="s">
        <v>51</v>
      </c>
    </row>
    <row r="27" spans="1:7">
      <c r="A27" t="s">
        <v>52</v>
      </c>
    </row>
    <row r="28" spans="1:7">
      <c r="A28" t="s">
        <v>53</v>
      </c>
    </row>
    <row r="29" spans="1:7">
      <c r="A29" t="s">
        <v>54</v>
      </c>
    </row>
  </sheetData>
  <phoneticPr fontId="0" type="noConversion"/>
  <hyperlinks>
    <hyperlink ref="A6" location="'SCC 1.062'!A1" display="SCC 1.062" xr:uid="{00000000-0004-0000-0000-00000B000000}"/>
    <hyperlink ref="A5" location="'VSCC 2.946 '!A1" display="VSCC 2.946 " xr:uid="{00000000-0004-0000-0000-00000C000000}"/>
    <hyperlink ref="A7" location="'SCC 1.829'!A1" display="SCC 1.829" xr:uid="{00000000-0004-0000-0000-00000D000000}"/>
    <hyperlink ref="A8" location="'SCC 2.654'!A1" display="SCC 2.654" xr:uid="{00000000-0004-0000-0000-00000E000000}"/>
    <hyperlink ref="A9" location="'SCC 2.229'!A1" display="SCC 2.229" xr:uid="{00000000-0004-0000-0000-00000F000000}"/>
    <hyperlink ref="A10" location="'SCC 3.495'!A1" display="SCC 3.495" xr:uid="{00000000-0004-0000-0000-000010000000}"/>
    <hyperlink ref="A11" location="'GK 2.05'!A1" display="GK 2.05" xr:uid="{00000000-0004-0000-0000-000011000000}"/>
    <hyperlink ref="A12" location="'GK 2.05 SH'!A1" display="GK 2.05 SH" xr:uid="{00000000-0004-0000-0000-000012000000}"/>
    <hyperlink ref="A13" location="'GK 2.69'!A1" display="GK 2.69 " xr:uid="{00000000-0004-0000-0000-000013000000}"/>
    <hyperlink ref="A14" location="'H-D'!A1" display="BGI 4" xr:uid="{00000000-0004-0000-0000-000014000000}"/>
    <hyperlink ref="A15" location="'SCC 0.732'!A1" display="SCC 0.732" xr:uid="{00000000-0004-0000-0000-000015000000}"/>
    <hyperlink ref="A16" location="'SCC 1.197'!A1" display="SCC 1.197" xr:uid="{00000000-0004-0000-0000-000016000000}"/>
    <hyperlink ref="A18" location="'SCC 0.695'!A1" display="SCC 0.695" xr:uid="{00000000-0004-0000-0000-000019000000}"/>
    <hyperlink ref="A19" location="'GK 4.162'!A1" display="GK 4.162" xr:uid="{00000000-0004-0000-0000-00001A000000}"/>
  </hyperlinks>
  <pageMargins left="0.75" right="0.75" top="1" bottom="1" header="0.5" footer="0.5"/>
  <pageSetup scale="8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48"/>
  <sheetViews>
    <sheetView zoomScaleNormal="100" workbookViewId="0">
      <selection activeCell="E52" sqref="E52"/>
    </sheetView>
  </sheetViews>
  <sheetFormatPr defaultRowHeight="12.75"/>
  <cols>
    <col min="1" max="1" width="10.42578125" bestFit="1" customWidth="1"/>
    <col min="2" max="4" width="9.28515625" bestFit="1" customWidth="1"/>
    <col min="5" max="5" width="10.140625" customWidth="1"/>
    <col min="6" max="6" width="9.28515625" bestFit="1" customWidth="1"/>
  </cols>
  <sheetData>
    <row r="1" spans="1:4">
      <c r="A1" s="4" t="s">
        <v>113</v>
      </c>
      <c r="B1" s="4"/>
      <c r="C1" s="4"/>
      <c r="D1" s="4"/>
    </row>
    <row r="3" spans="1:4">
      <c r="A3" s="1" t="s">
        <v>56</v>
      </c>
      <c r="B3" s="1" t="s">
        <v>86</v>
      </c>
    </row>
    <row r="4" spans="1:4">
      <c r="A4" s="18">
        <v>1.5</v>
      </c>
      <c r="B4" s="16">
        <v>7.6680000000000001</v>
      </c>
    </row>
    <row r="5" spans="1:4">
      <c r="A5" s="18">
        <v>2</v>
      </c>
      <c r="B5" s="16">
        <v>5.5190000000000001</v>
      </c>
    </row>
    <row r="6" spans="1:4">
      <c r="A6" s="18">
        <v>2.5</v>
      </c>
      <c r="B6" s="16">
        <v>4.2770000000000001</v>
      </c>
    </row>
    <row r="7" spans="1:4">
      <c r="A7" s="18">
        <v>3</v>
      </c>
      <c r="B7" s="16">
        <v>3.472</v>
      </c>
    </row>
    <row r="8" spans="1:4">
      <c r="A8" s="18">
        <v>3.5</v>
      </c>
      <c r="B8" s="16">
        <v>2.911</v>
      </c>
    </row>
    <row r="9" spans="1:4">
      <c r="A9" s="18">
        <v>4</v>
      </c>
      <c r="B9" s="16">
        <v>2.4990000000000001</v>
      </c>
    </row>
    <row r="10" spans="1:4">
      <c r="A10" s="18">
        <v>4.5</v>
      </c>
      <c r="B10" s="16">
        <v>2.1840000000000002</v>
      </c>
    </row>
    <row r="11" spans="1:4">
      <c r="A11" s="18">
        <v>5</v>
      </c>
      <c r="B11" s="16">
        <v>1.9370000000000001</v>
      </c>
    </row>
    <row r="17" spans="1:12" ht="13.5" thickBot="1"/>
    <row r="18" spans="1:12">
      <c r="A18" s="10" t="s">
        <v>111</v>
      </c>
      <c r="B18" s="11"/>
    </row>
    <row r="19" spans="1:12">
      <c r="A19" s="33" t="s">
        <v>58</v>
      </c>
      <c r="B19" s="21"/>
    </row>
    <row r="20" spans="1:12">
      <c r="A20" s="32" t="s">
        <v>90</v>
      </c>
      <c r="B20" s="21"/>
    </row>
    <row r="21" spans="1:12">
      <c r="A21" s="27" t="s">
        <v>57</v>
      </c>
      <c r="B21" s="28" t="s">
        <v>86</v>
      </c>
    </row>
    <row r="22" spans="1:12" ht="13.5" thickBot="1">
      <c r="A22" s="12">
        <v>8</v>
      </c>
      <c r="B22" s="35">
        <f>(12.188)*(A22)^(-1.143)</f>
        <v>1.1316199373133864</v>
      </c>
    </row>
    <row r="23" spans="1:12">
      <c r="A23" s="34"/>
    </row>
    <row r="25" spans="1:12" ht="13.5" thickBot="1">
      <c r="A25" s="52"/>
      <c r="B25" s="53"/>
    </row>
    <row r="26" spans="1:12">
      <c r="A26" s="17">
        <v>39671</v>
      </c>
      <c r="B26" s="14" t="s">
        <v>91</v>
      </c>
      <c r="C26" t="s">
        <v>92</v>
      </c>
      <c r="E26" s="10" t="s">
        <v>55</v>
      </c>
      <c r="F26" s="11"/>
    </row>
    <row r="27" spans="1:12">
      <c r="A27" t="s">
        <v>24</v>
      </c>
      <c r="E27" s="20" t="s">
        <v>60</v>
      </c>
      <c r="F27" s="21"/>
    </row>
    <row r="28" spans="1:12">
      <c r="A28" t="s">
        <v>66</v>
      </c>
      <c r="E28" s="20" t="s">
        <v>62</v>
      </c>
      <c r="F28" s="21"/>
    </row>
    <row r="29" spans="1:12">
      <c r="A29" t="s">
        <v>67</v>
      </c>
      <c r="B29">
        <v>754.2</v>
      </c>
      <c r="C29" t="s">
        <v>68</v>
      </c>
      <c r="E29" s="37" t="s">
        <v>64</v>
      </c>
      <c r="F29" s="40" t="s">
        <v>95</v>
      </c>
    </row>
    <row r="30" spans="1:12" ht="13.5" thickBot="1">
      <c r="A30" t="s">
        <v>70</v>
      </c>
      <c r="B30">
        <v>22.5</v>
      </c>
      <c r="C30" t="s">
        <v>71</v>
      </c>
      <c r="E30" s="22">
        <v>10</v>
      </c>
      <c r="F30" s="23">
        <f>0.031765439*(E30)^2.4329673</f>
        <v>8.6083945066713472</v>
      </c>
    </row>
    <row r="31" spans="1:12">
      <c r="L31" s="50"/>
    </row>
    <row r="32" spans="1:12">
      <c r="B32" s="3" t="s">
        <v>72</v>
      </c>
      <c r="C32" s="3"/>
      <c r="D32" s="3"/>
      <c r="E32" s="3"/>
      <c r="F32" s="3"/>
    </row>
    <row r="33" spans="1:12">
      <c r="A33" s="3" t="s">
        <v>73</v>
      </c>
      <c r="B33" s="3" t="s">
        <v>74</v>
      </c>
      <c r="C33" s="3" t="s">
        <v>75</v>
      </c>
      <c r="D33" s="3"/>
      <c r="E33" s="3" t="s">
        <v>65</v>
      </c>
      <c r="F33" s="3" t="s">
        <v>65</v>
      </c>
    </row>
    <row r="34" spans="1:12">
      <c r="A34" s="3" t="s">
        <v>76</v>
      </c>
      <c r="B34" s="3" t="s">
        <v>77</v>
      </c>
      <c r="C34" s="3" t="s">
        <v>77</v>
      </c>
      <c r="D34" s="3" t="s">
        <v>78</v>
      </c>
      <c r="E34" s="3" t="s">
        <v>79</v>
      </c>
      <c r="F34" s="3" t="s">
        <v>79</v>
      </c>
    </row>
    <row r="35" spans="1:12">
      <c r="A35" s="3" t="s">
        <v>80</v>
      </c>
      <c r="B35" s="3" t="s">
        <v>68</v>
      </c>
      <c r="C35" s="3" t="s">
        <v>71</v>
      </c>
      <c r="D35" s="3" t="s">
        <v>81</v>
      </c>
      <c r="E35" s="3" t="s">
        <v>82</v>
      </c>
      <c r="F35" s="3" t="s">
        <v>83</v>
      </c>
    </row>
    <row r="36" spans="1:12">
      <c r="B36" s="3"/>
      <c r="C36" s="3"/>
      <c r="D36" s="54"/>
      <c r="E36" s="3"/>
      <c r="F36" s="3"/>
      <c r="I36" s="51"/>
      <c r="K36" s="51"/>
    </row>
    <row r="37" spans="1:12">
      <c r="A37" s="1" t="s">
        <v>96</v>
      </c>
      <c r="B37" s="1">
        <v>123.9</v>
      </c>
      <c r="C37" s="1">
        <v>21.3</v>
      </c>
      <c r="D37" s="19">
        <f>(((B37)*(0.03942404))-0.19533397)*((760/$B$29)*((273.15+C37)/293.15))</f>
        <v>4.7463216567211193</v>
      </c>
      <c r="E37" s="19">
        <v>1.41</v>
      </c>
      <c r="F37" s="19">
        <f>0.980665*E37</f>
        <v>1.3827376499999999</v>
      </c>
      <c r="I37" s="51"/>
      <c r="J37" s="51"/>
      <c r="K37" s="51"/>
    </row>
    <row r="38" spans="1:12">
      <c r="A38" s="1"/>
      <c r="B38" s="1">
        <v>175.3</v>
      </c>
      <c r="C38" s="1">
        <v>21.3</v>
      </c>
      <c r="D38" s="19">
        <f>(((B38)*(0.03942404))-0.19533397)*((760/$B$29)*((273.15+C38)/293.15))</f>
        <v>6.7973561781025804</v>
      </c>
      <c r="E38" s="19">
        <v>3.49</v>
      </c>
      <c r="F38" s="19">
        <f>0.980665*E38</f>
        <v>3.4225208500000002</v>
      </c>
      <c r="I38" s="51"/>
      <c r="J38" s="51"/>
      <c r="K38" s="51"/>
    </row>
    <row r="39" spans="1:12">
      <c r="A39" s="1"/>
      <c r="B39" s="1">
        <v>222.8</v>
      </c>
      <c r="C39" s="1">
        <v>21.2</v>
      </c>
      <c r="D39" s="19">
        <f>(((B39)*(0.03942404))-0.19533397)*((760/$B$29)*((273.15+C39)/293.15))</f>
        <v>8.6898152526453458</v>
      </c>
      <c r="E39" s="19">
        <v>6</v>
      </c>
      <c r="F39" s="19">
        <f>0.980665*E39</f>
        <v>5.8839899999999998</v>
      </c>
      <c r="I39" s="51"/>
      <c r="J39" s="51"/>
      <c r="K39" s="51"/>
    </row>
    <row r="40" spans="1:12">
      <c r="A40" s="1"/>
      <c r="B40" s="1">
        <v>275.60000000000002</v>
      </c>
      <c r="C40" s="1">
        <v>21.2</v>
      </c>
      <c r="D40" s="19">
        <f>(((B40)*(0.03942404))-0.19533397)*((760/$B$29)*((273.15+C40)/293.15))</f>
        <v>10.795998990331041</v>
      </c>
      <c r="E40" s="19">
        <v>10.4</v>
      </c>
      <c r="F40" s="19">
        <f>0.980665*E40</f>
        <v>10.198916000000001</v>
      </c>
      <c r="I40" s="51"/>
      <c r="J40" s="51"/>
      <c r="K40" s="51"/>
    </row>
    <row r="41" spans="1:12">
      <c r="A41" s="1"/>
      <c r="B41" s="1">
        <v>319.89999999999998</v>
      </c>
      <c r="C41" s="1">
        <v>21.2</v>
      </c>
      <c r="D41" s="19">
        <f>(((B41)*(0.03942404))-0.19533397)*((760/$B$29)*((273.15+C41)/293.15))</f>
        <v>12.563119058124153</v>
      </c>
      <c r="E41" s="19">
        <v>15</v>
      </c>
      <c r="F41" s="19">
        <f>0.980665*E41</f>
        <v>14.709975</v>
      </c>
      <c r="I41" s="51"/>
      <c r="J41" s="51"/>
      <c r="K41" s="51"/>
    </row>
    <row r="42" spans="1:12">
      <c r="A42" t="s">
        <v>67</v>
      </c>
      <c r="B42">
        <v>754.7</v>
      </c>
      <c r="C42" t="s">
        <v>68</v>
      </c>
      <c r="I42" s="51"/>
      <c r="J42" s="51"/>
      <c r="K42" s="51"/>
    </row>
    <row r="43" spans="1:12">
      <c r="A43" t="s">
        <v>70</v>
      </c>
      <c r="B43">
        <v>21</v>
      </c>
      <c r="C43" t="s">
        <v>71</v>
      </c>
      <c r="I43" s="51"/>
      <c r="J43" s="51"/>
      <c r="K43" s="51"/>
    </row>
    <row r="44" spans="1:12">
      <c r="A44" s="1" t="s">
        <v>97</v>
      </c>
      <c r="B44" s="1">
        <v>119.8</v>
      </c>
      <c r="C44" s="1">
        <v>21</v>
      </c>
      <c r="D44" s="19">
        <f>(((B44)*(0.011241544))-0.046859958)*((760/$B$42)*((273.15+C44)/293.15))</f>
        <v>1.3134709148448911</v>
      </c>
      <c r="E44" s="19">
        <v>6.4000000000000001E-2</v>
      </c>
      <c r="F44" s="19">
        <f>0.980665*E44</f>
        <v>6.2762559999999995E-2</v>
      </c>
      <c r="I44" s="51"/>
      <c r="J44" s="51"/>
      <c r="K44" s="51"/>
    </row>
    <row r="45" spans="1:12">
      <c r="A45" s="1"/>
      <c r="B45" s="1">
        <v>156.1</v>
      </c>
      <c r="C45" s="1">
        <v>21</v>
      </c>
      <c r="D45" s="19">
        <f>(((B45)*(0.011241544))-0.046859958)*((760/$B$42)*((273.15+C45)/293.15))</f>
        <v>1.7258064710797678</v>
      </c>
      <c r="E45" s="19">
        <v>0.14000000000000001</v>
      </c>
      <c r="F45" s="19">
        <f>0.980665*E45</f>
        <v>0.1372931</v>
      </c>
      <c r="I45" s="51"/>
      <c r="J45" s="51"/>
      <c r="K45" s="51"/>
    </row>
    <row r="46" spans="1:12">
      <c r="B46" s="1">
        <v>203.5</v>
      </c>
      <c r="C46" s="1">
        <v>21.1</v>
      </c>
      <c r="D46" s="19">
        <f>(((B46)*(0.011241544))-0.046859958)*((760/$B$42)*((273.15+C46)/293.15))</f>
        <v>2.2649978593772953</v>
      </c>
      <c r="E46" s="19">
        <v>0.245</v>
      </c>
      <c r="F46" s="19">
        <f>0.980665*E46</f>
        <v>0.24026292499999999</v>
      </c>
      <c r="I46" s="51"/>
      <c r="J46" s="51"/>
      <c r="K46" s="51"/>
    </row>
    <row r="47" spans="1:12">
      <c r="A47" s="1"/>
      <c r="B47" s="1">
        <v>285.05</v>
      </c>
      <c r="C47" s="1">
        <v>21.2</v>
      </c>
      <c r="D47" s="19">
        <f>(((B47)*(0.011241544))-0.046859958)*((760/$B$42)*((273.15+C47)/293.15))</f>
        <v>3.1927325641048774</v>
      </c>
      <c r="E47" s="19">
        <v>0.51</v>
      </c>
      <c r="F47" s="19">
        <f>0.980665*E47</f>
        <v>0.50013914999999998</v>
      </c>
      <c r="I47" s="51"/>
      <c r="J47" s="51"/>
      <c r="K47" s="51"/>
      <c r="L47" s="51"/>
    </row>
    <row r="48" spans="1:12">
      <c r="A48" s="1"/>
      <c r="B48" s="1">
        <v>356</v>
      </c>
      <c r="C48" s="1">
        <v>21.2</v>
      </c>
      <c r="D48" s="19">
        <f>(((B48)*(0.011241544))-0.046859958)*((760/$B$42)*((273.15+C48)/293.15))</f>
        <v>3.9992091224536863</v>
      </c>
      <c r="E48" s="19">
        <v>0.89</v>
      </c>
      <c r="F48" s="19">
        <f>0.980665*E48</f>
        <v>0.87279185000000004</v>
      </c>
      <c r="I48" s="51"/>
      <c r="J48" s="51"/>
      <c r="K48" s="51"/>
      <c r="L48" s="51"/>
    </row>
  </sheetData>
  <phoneticPr fontId="0" type="noConversion"/>
  <pageMargins left="0.75" right="0.75" top="1" bottom="1" header="0.5" footer="0.5"/>
  <pageSetup scale="7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9"/>
  <sheetViews>
    <sheetView zoomScaleNormal="100" workbookViewId="0"/>
  </sheetViews>
  <sheetFormatPr defaultRowHeight="12.75"/>
  <cols>
    <col min="1" max="1" width="10.42578125" bestFit="1" customWidth="1"/>
    <col min="2" max="4" width="9.28515625" bestFit="1" customWidth="1"/>
    <col min="5" max="5" width="10.28515625" customWidth="1"/>
    <col min="6" max="6" width="9.28515625" bestFit="1" customWidth="1"/>
  </cols>
  <sheetData>
    <row r="1" spans="1:4">
      <c r="A1" s="4" t="s">
        <v>113</v>
      </c>
      <c r="B1" s="4"/>
      <c r="C1" s="4"/>
      <c r="D1" s="4"/>
    </row>
    <row r="3" spans="1:4">
      <c r="A3" s="1" t="s">
        <v>56</v>
      </c>
      <c r="B3" s="1" t="s">
        <v>86</v>
      </c>
    </row>
    <row r="4" spans="1:4">
      <c r="A4" s="18">
        <v>1.5</v>
      </c>
      <c r="B4" s="16">
        <v>5.5190000000000001</v>
      </c>
    </row>
    <row r="5" spans="1:4">
      <c r="A5" s="18">
        <v>2</v>
      </c>
      <c r="B5" s="16">
        <v>4.2770000000000001</v>
      </c>
    </row>
    <row r="6" spans="1:4">
      <c r="A6" s="18">
        <v>2.5</v>
      </c>
      <c r="B6" s="16">
        <v>3.472</v>
      </c>
    </row>
    <row r="7" spans="1:4">
      <c r="A7" s="18">
        <v>3</v>
      </c>
      <c r="B7" s="16">
        <v>2.911</v>
      </c>
    </row>
    <row r="8" spans="1:4">
      <c r="A8" s="18">
        <v>3.5</v>
      </c>
      <c r="B8" s="1">
        <v>2.5</v>
      </c>
    </row>
    <row r="9" spans="1:4">
      <c r="A9" s="18">
        <v>4</v>
      </c>
      <c r="B9" s="16">
        <v>2.1800000000000002</v>
      </c>
    </row>
    <row r="10" spans="1:4">
      <c r="A10" s="18">
        <v>4.5</v>
      </c>
      <c r="B10" s="16">
        <v>1.94</v>
      </c>
    </row>
    <row r="11" spans="1:4">
      <c r="A11" s="18"/>
      <c r="B11" s="16"/>
    </row>
    <row r="17" spans="1:12" ht="13.5" thickBot="1"/>
    <row r="18" spans="1:12">
      <c r="A18" s="10" t="s">
        <v>111</v>
      </c>
      <c r="B18" s="11"/>
    </row>
    <row r="19" spans="1:12">
      <c r="A19" s="33" t="s">
        <v>58</v>
      </c>
      <c r="B19" s="21"/>
    </row>
    <row r="20" spans="1:12">
      <c r="A20" s="32" t="s">
        <v>90</v>
      </c>
      <c r="B20" s="21"/>
    </row>
    <row r="21" spans="1:12">
      <c r="A21" s="27" t="s">
        <v>57</v>
      </c>
      <c r="B21" s="28" t="s">
        <v>86</v>
      </c>
    </row>
    <row r="22" spans="1:12" ht="13.5" thickBot="1">
      <c r="A22" s="12">
        <v>8.5</v>
      </c>
      <c r="B22" s="35">
        <f>(8.2417)*(A22)^(-0.9552)</f>
        <v>1.0671754949905679</v>
      </c>
    </row>
    <row r="25" spans="1:12" ht="13.5" thickBot="1"/>
    <row r="26" spans="1:12">
      <c r="A26" s="17">
        <v>39671</v>
      </c>
      <c r="B26" s="14" t="s">
        <v>91</v>
      </c>
      <c r="C26" t="s">
        <v>92</v>
      </c>
      <c r="E26" s="10" t="s">
        <v>55</v>
      </c>
      <c r="F26" s="11"/>
    </row>
    <row r="27" spans="1:12">
      <c r="A27" t="s">
        <v>26</v>
      </c>
      <c r="E27" s="20" t="s">
        <v>60</v>
      </c>
      <c r="F27" s="21"/>
    </row>
    <row r="28" spans="1:12">
      <c r="A28" t="s">
        <v>66</v>
      </c>
      <c r="E28" s="20" t="s">
        <v>62</v>
      </c>
      <c r="F28" s="21"/>
    </row>
    <row r="29" spans="1:12">
      <c r="A29" t="s">
        <v>67</v>
      </c>
      <c r="B29">
        <v>755.2</v>
      </c>
      <c r="C29" t="s">
        <v>68</v>
      </c>
      <c r="E29" s="37" t="s">
        <v>64</v>
      </c>
      <c r="F29" s="40" t="s">
        <v>95</v>
      </c>
    </row>
    <row r="30" spans="1:12" ht="13.5" thickBot="1">
      <c r="A30" t="s">
        <v>70</v>
      </c>
      <c r="B30">
        <v>21</v>
      </c>
      <c r="C30" t="s">
        <v>71</v>
      </c>
      <c r="E30" s="22">
        <v>10</v>
      </c>
      <c r="F30" s="23">
        <f>0.061242226*(E30)^2.3323665</f>
        <v>13.164897067069571</v>
      </c>
    </row>
    <row r="31" spans="1:12">
      <c r="L31" s="50"/>
    </row>
    <row r="32" spans="1:12">
      <c r="B32" s="3" t="s">
        <v>72</v>
      </c>
      <c r="C32" s="3"/>
      <c r="D32" s="3"/>
      <c r="E32" s="3"/>
      <c r="F32" s="3"/>
    </row>
    <row r="33" spans="1:12">
      <c r="A33" s="3" t="s">
        <v>73</v>
      </c>
      <c r="B33" s="3" t="s">
        <v>74</v>
      </c>
      <c r="C33" s="3" t="s">
        <v>75</v>
      </c>
      <c r="D33" s="3"/>
      <c r="E33" s="3" t="s">
        <v>65</v>
      </c>
      <c r="F33" s="3" t="s">
        <v>65</v>
      </c>
    </row>
    <row r="34" spans="1:12">
      <c r="A34" s="3" t="s">
        <v>76</v>
      </c>
      <c r="B34" s="3" t="s">
        <v>77</v>
      </c>
      <c r="C34" s="3" t="s">
        <v>77</v>
      </c>
      <c r="D34" s="3" t="s">
        <v>78</v>
      </c>
      <c r="E34" s="3" t="s">
        <v>79</v>
      </c>
      <c r="F34" s="3" t="s">
        <v>79</v>
      </c>
    </row>
    <row r="35" spans="1:12">
      <c r="A35" s="3" t="s">
        <v>80</v>
      </c>
      <c r="B35" s="3" t="s">
        <v>68</v>
      </c>
      <c r="C35" s="3" t="s">
        <v>71</v>
      </c>
      <c r="D35" s="3" t="s">
        <v>81</v>
      </c>
      <c r="E35" s="3" t="s">
        <v>82</v>
      </c>
      <c r="F35" s="3" t="s">
        <v>83</v>
      </c>
    </row>
    <row r="36" spans="1:12">
      <c r="B36" s="3"/>
      <c r="C36" s="3"/>
      <c r="D36" s="54"/>
      <c r="E36" s="3"/>
      <c r="F36" s="3"/>
      <c r="I36" s="51"/>
      <c r="K36" s="51"/>
    </row>
    <row r="37" spans="1:12">
      <c r="A37" s="1" t="s">
        <v>96</v>
      </c>
      <c r="B37" s="1">
        <v>124.75</v>
      </c>
      <c r="C37" s="1">
        <v>20.9</v>
      </c>
      <c r="D37" s="19">
        <f>(((B37)*(0.03942404))-0.19533397)*((760/$B$29)*((273.15+C37)/293.15))</f>
        <v>4.7674245873990353</v>
      </c>
      <c r="E37" s="19">
        <v>2.48</v>
      </c>
      <c r="F37" s="19">
        <f>0.980665*E37</f>
        <v>2.4320491999999998</v>
      </c>
      <c r="I37" s="51"/>
      <c r="J37" s="51"/>
      <c r="K37" s="51"/>
    </row>
    <row r="38" spans="1:12">
      <c r="A38" s="1"/>
      <c r="B38" s="1">
        <v>176.6</v>
      </c>
      <c r="C38" s="1">
        <v>21.2</v>
      </c>
      <c r="D38" s="19">
        <f>(((B38)*(0.03942404))-0.19533397)*((760/$B$29)*((273.15+C38)/293.15))</f>
        <v>6.8378381361929117</v>
      </c>
      <c r="E38" s="19">
        <v>5.3</v>
      </c>
      <c r="F38" s="19">
        <f>0.980665*E38</f>
        <v>5.1975245000000001</v>
      </c>
      <c r="I38" s="51"/>
      <c r="J38" s="51"/>
      <c r="K38" s="51"/>
    </row>
    <row r="39" spans="1:12">
      <c r="A39" s="1"/>
      <c r="B39" s="1">
        <v>219.5</v>
      </c>
      <c r="C39" s="1">
        <v>21.2</v>
      </c>
      <c r="D39" s="19">
        <f>(((B39)*(0.03942404))-0.19533397)*((760/$B$29)*((273.15+C39)/293.15))</f>
        <v>8.5468464348648823</v>
      </c>
      <c r="E39" s="19">
        <v>9.1</v>
      </c>
      <c r="F39" s="19">
        <f>0.980665*E39</f>
        <v>8.9240514999999991</v>
      </c>
      <c r="I39" s="51"/>
      <c r="J39" s="51"/>
      <c r="K39" s="51"/>
    </row>
    <row r="40" spans="1:12">
      <c r="A40" s="1"/>
      <c r="B40" s="1">
        <v>274.8</v>
      </c>
      <c r="C40" s="1">
        <v>21.2</v>
      </c>
      <c r="D40" s="19">
        <f>(((B40)*(0.03942404))-0.19533397)*((760/$B$29)*((273.15+C40)/293.15))</f>
        <v>10.749833822197285</v>
      </c>
      <c r="E40" s="19">
        <v>15.6</v>
      </c>
      <c r="F40" s="19">
        <f>0.980665*E40</f>
        <v>15.298373999999999</v>
      </c>
      <c r="I40" s="51"/>
      <c r="J40" s="51"/>
      <c r="K40" s="51"/>
    </row>
    <row r="41" spans="1:12">
      <c r="A41" s="1"/>
      <c r="B41" s="1">
        <v>328</v>
      </c>
      <c r="C41" s="1">
        <v>21.1</v>
      </c>
      <c r="D41" s="19">
        <f>(((B41)*(0.03942404))-0.19533397)*((760/$B$29)*((273.15+C41)/293.15))</f>
        <v>12.864791398995731</v>
      </c>
      <c r="E41" s="19">
        <v>23.7</v>
      </c>
      <c r="F41" s="19">
        <f>0.980665*E41</f>
        <v>23.241760499999998</v>
      </c>
      <c r="I41" s="51"/>
      <c r="J41" s="51"/>
      <c r="K41" s="51"/>
    </row>
    <row r="42" spans="1:12">
      <c r="A42" t="s">
        <v>67</v>
      </c>
      <c r="B42">
        <v>755.1</v>
      </c>
      <c r="C42" t="s">
        <v>68</v>
      </c>
      <c r="I42" s="51"/>
      <c r="J42" s="51"/>
      <c r="K42" s="51"/>
    </row>
    <row r="43" spans="1:12">
      <c r="A43" t="s">
        <v>70</v>
      </c>
      <c r="B43">
        <v>21</v>
      </c>
      <c r="C43" t="s">
        <v>71</v>
      </c>
      <c r="I43" s="51"/>
      <c r="J43" s="51"/>
      <c r="K43" s="51"/>
    </row>
    <row r="44" spans="1:12">
      <c r="A44" s="1" t="s">
        <v>97</v>
      </c>
      <c r="B44" s="1">
        <v>112.1</v>
      </c>
      <c r="C44" s="1">
        <v>20.9</v>
      </c>
      <c r="D44" s="19">
        <f>(((B44)*(0.011241544))-0.046859958)*((760/$B$42)*((273.15+C44)/293.15))</f>
        <v>1.2249397680475169</v>
      </c>
      <c r="E44" s="19">
        <v>0.125</v>
      </c>
      <c r="F44" s="19">
        <f>0.980665*E44</f>
        <v>0.122583125</v>
      </c>
      <c r="I44" s="51"/>
      <c r="J44" s="51"/>
      <c r="K44" s="51"/>
    </row>
    <row r="45" spans="1:12">
      <c r="A45" s="1"/>
      <c r="B45" s="1">
        <v>154</v>
      </c>
      <c r="C45" s="1">
        <v>20.8</v>
      </c>
      <c r="D45" s="19">
        <f>(((B45)*(0.011241544))-0.046859958)*((760/$B$42)*((273.15+C45)/293.15))</f>
        <v>1.6998941834982508</v>
      </c>
      <c r="E45" s="19">
        <v>0.20499999999999999</v>
      </c>
      <c r="F45" s="19">
        <f>0.980665*E45</f>
        <v>0.20103632499999999</v>
      </c>
      <c r="I45" s="51"/>
      <c r="J45" s="51"/>
      <c r="K45" s="51"/>
    </row>
    <row r="46" spans="1:12">
      <c r="B46" s="1">
        <v>204.7</v>
      </c>
      <c r="C46" s="1">
        <v>20.8</v>
      </c>
      <c r="D46" s="19">
        <f>(((B46)*(0.011241544))-0.046859958)*((760/$B$42)*((273.15+C46)/293.15))</f>
        <v>2.2751044277168369</v>
      </c>
      <c r="E46" s="19">
        <v>0.44</v>
      </c>
      <c r="F46" s="19">
        <f>0.980665*E46</f>
        <v>0.4314926</v>
      </c>
      <c r="I46" s="51"/>
      <c r="J46" s="51"/>
      <c r="K46" s="51"/>
    </row>
    <row r="47" spans="1:12">
      <c r="A47" s="1"/>
      <c r="B47" s="1">
        <v>282.60000000000002</v>
      </c>
      <c r="C47" s="1">
        <v>20.8</v>
      </c>
      <c r="D47" s="19">
        <f>(((B47)*(0.011241544))-0.046859958)*((760/$B$42)*((273.15+C47)/293.15))</f>
        <v>3.1589087280053558</v>
      </c>
      <c r="E47" s="19">
        <v>0.89</v>
      </c>
      <c r="F47" s="19">
        <f>0.980665*E47</f>
        <v>0.87279185000000004</v>
      </c>
      <c r="I47" s="51"/>
      <c r="J47" s="51"/>
      <c r="K47" s="51"/>
      <c r="L47" s="51"/>
    </row>
    <row r="48" spans="1:12">
      <c r="A48" s="1"/>
      <c r="B48" s="1">
        <v>353.4</v>
      </c>
      <c r="C48" s="1">
        <v>20.8</v>
      </c>
      <c r="D48" s="19">
        <f>(((B48)*(0.011241544))-0.046859958)*((760/$B$42)*((273.15+C48)/293.15))</f>
        <v>3.9621609033638543</v>
      </c>
      <c r="E48" s="19">
        <v>1.6</v>
      </c>
      <c r="F48" s="19">
        <f>0.980665*E48</f>
        <v>1.569064</v>
      </c>
      <c r="I48" s="51"/>
      <c r="J48" s="51"/>
      <c r="K48" s="51"/>
      <c r="L48" s="51"/>
    </row>
    <row r="49" spans="9:12">
      <c r="I49" s="51"/>
      <c r="J49" s="51"/>
      <c r="K49" s="51"/>
      <c r="L49" s="51"/>
    </row>
  </sheetData>
  <phoneticPr fontId="2" type="noConversion"/>
  <pageMargins left="0.75" right="0.75" top="1" bottom="1" header="0.5" footer="0.5"/>
  <pageSetup scale="74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2"/>
  <sheetViews>
    <sheetView zoomScaleNormal="100" workbookViewId="0">
      <selection activeCell="A25" sqref="A25"/>
    </sheetView>
  </sheetViews>
  <sheetFormatPr defaultRowHeight="12.75"/>
  <cols>
    <col min="1" max="1" width="10.140625" bestFit="1" customWidth="1"/>
    <col min="2" max="2" width="12.42578125" bestFit="1" customWidth="1"/>
    <col min="3" max="3" width="9.5703125" customWidth="1"/>
    <col min="4" max="4" width="9.28515625" bestFit="1" customWidth="1"/>
    <col min="5" max="5" width="10" bestFit="1" customWidth="1"/>
    <col min="6" max="6" width="9.28515625" bestFit="1" customWidth="1"/>
  </cols>
  <sheetData>
    <row r="1" spans="1:5">
      <c r="A1" s="4" t="s">
        <v>114</v>
      </c>
      <c r="B1" s="4"/>
      <c r="C1" s="4"/>
      <c r="D1" s="46" t="s">
        <v>92</v>
      </c>
      <c r="E1" s="17">
        <v>39300</v>
      </c>
    </row>
    <row r="2" spans="1:5">
      <c r="A2" s="4"/>
      <c r="B2" s="4"/>
      <c r="C2" s="4"/>
      <c r="D2" s="4"/>
    </row>
    <row r="3" spans="1:5">
      <c r="A3" s="3" t="s">
        <v>81</v>
      </c>
      <c r="B3" s="3" t="s">
        <v>86</v>
      </c>
      <c r="C3" s="3"/>
      <c r="D3" s="4"/>
    </row>
    <row r="4" spans="1:5">
      <c r="A4" s="1">
        <v>1.6</v>
      </c>
      <c r="B4" s="1">
        <v>10</v>
      </c>
      <c r="C4" s="1"/>
    </row>
    <row r="5" spans="1:5">
      <c r="A5" s="1">
        <v>2.7</v>
      </c>
      <c r="B5" s="1">
        <v>6.22</v>
      </c>
      <c r="C5" s="1"/>
    </row>
    <row r="6" spans="1:5">
      <c r="A6" s="1">
        <v>4.2</v>
      </c>
      <c r="B6" s="1">
        <v>4</v>
      </c>
      <c r="C6" s="1"/>
    </row>
    <row r="7" spans="1:5">
      <c r="A7" s="1">
        <v>5</v>
      </c>
      <c r="B7" s="1">
        <v>3.47</v>
      </c>
      <c r="C7" s="1"/>
    </row>
    <row r="8" spans="1:5">
      <c r="A8" s="1">
        <v>6</v>
      </c>
      <c r="B8" s="1">
        <v>2.82</v>
      </c>
      <c r="C8" s="1"/>
    </row>
    <row r="9" spans="1:5">
      <c r="A9" s="1">
        <v>7</v>
      </c>
      <c r="B9" s="1">
        <v>2.36</v>
      </c>
      <c r="C9" s="1"/>
    </row>
    <row r="10" spans="1:5">
      <c r="A10" s="1">
        <v>8</v>
      </c>
      <c r="B10" s="1">
        <v>2.0299999999999998</v>
      </c>
      <c r="C10" s="1"/>
    </row>
    <row r="11" spans="1:5">
      <c r="A11" s="1">
        <v>9</v>
      </c>
      <c r="B11" s="1">
        <v>1.77</v>
      </c>
      <c r="C11" s="1"/>
    </row>
    <row r="12" spans="1:5">
      <c r="A12" s="1">
        <v>10</v>
      </c>
      <c r="B12" s="1">
        <v>1.57</v>
      </c>
      <c r="C12" s="1"/>
    </row>
    <row r="13" spans="1:5">
      <c r="A13" s="1">
        <v>11</v>
      </c>
      <c r="B13" s="1">
        <v>1.41</v>
      </c>
      <c r="C13" s="1"/>
    </row>
    <row r="14" spans="1:5">
      <c r="A14" s="1">
        <v>12</v>
      </c>
      <c r="B14" s="1">
        <v>1.27</v>
      </c>
      <c r="C14" s="1"/>
    </row>
    <row r="15" spans="1:5">
      <c r="A15" s="1">
        <v>13</v>
      </c>
      <c r="B15" s="1">
        <v>1.1599999999999999</v>
      </c>
      <c r="C15" s="1"/>
    </row>
    <row r="16" spans="1:5">
      <c r="A16" s="1">
        <v>14</v>
      </c>
      <c r="B16" s="1">
        <v>1.07</v>
      </c>
      <c r="C16" s="1"/>
    </row>
    <row r="17" spans="1:6">
      <c r="A17" s="1">
        <v>15</v>
      </c>
      <c r="B17" s="1">
        <v>0.98799999999999999</v>
      </c>
      <c r="C17" s="1"/>
    </row>
    <row r="18" spans="1:6">
      <c r="C18" s="1"/>
    </row>
    <row r="19" spans="1:6" ht="13.5" thickBot="1"/>
    <row r="20" spans="1:6">
      <c r="A20" s="10" t="s">
        <v>55</v>
      </c>
      <c r="B20" s="11"/>
    </row>
    <row r="21" spans="1:6">
      <c r="A21" s="20" t="s">
        <v>102</v>
      </c>
      <c r="B21" s="21"/>
    </row>
    <row r="22" spans="1:6">
      <c r="A22" s="20" t="s">
        <v>115</v>
      </c>
      <c r="B22" s="21"/>
    </row>
    <row r="23" spans="1:6">
      <c r="A23" s="47" t="s">
        <v>57</v>
      </c>
      <c r="B23" s="48" t="s">
        <v>86</v>
      </c>
    </row>
    <row r="24" spans="1:6" ht="13.5" thickBot="1">
      <c r="A24" s="12">
        <v>6</v>
      </c>
      <c r="B24" s="49">
        <f>(-0.63365986)+(15.900303*((A24)^-0.85300444))</f>
        <v>2.8149092110278948</v>
      </c>
    </row>
    <row r="25" spans="1:6">
      <c r="A25" t="s">
        <v>105</v>
      </c>
    </row>
    <row r="27" spans="1:6" ht="13.5" thickBot="1"/>
    <row r="28" spans="1:6">
      <c r="A28" s="17">
        <v>39668</v>
      </c>
      <c r="B28" s="14" t="s">
        <v>91</v>
      </c>
      <c r="C28" t="s">
        <v>92</v>
      </c>
      <c r="E28" s="10" t="s">
        <v>55</v>
      </c>
      <c r="F28" s="11"/>
    </row>
    <row r="29" spans="1:6">
      <c r="A29" t="s">
        <v>116</v>
      </c>
      <c r="E29" s="20" t="s">
        <v>60</v>
      </c>
      <c r="F29" s="21"/>
    </row>
    <row r="30" spans="1:6">
      <c r="A30" t="s">
        <v>66</v>
      </c>
      <c r="E30" s="20" t="s">
        <v>62</v>
      </c>
      <c r="F30" s="21"/>
    </row>
    <row r="31" spans="1:6">
      <c r="A31" t="s">
        <v>67</v>
      </c>
      <c r="B31">
        <v>751.6</v>
      </c>
      <c r="C31" t="s">
        <v>68</v>
      </c>
      <c r="E31" s="37" t="s">
        <v>64</v>
      </c>
      <c r="F31" s="40" t="s">
        <v>95</v>
      </c>
    </row>
    <row r="32" spans="1:6" ht="13.5" thickBot="1">
      <c r="A32" t="s">
        <v>70</v>
      </c>
      <c r="B32">
        <v>21.5</v>
      </c>
      <c r="C32" t="s">
        <v>71</v>
      </c>
      <c r="E32" s="22">
        <v>9</v>
      </c>
      <c r="F32" s="23">
        <f>0.013255612*(E32)^2.4036801</f>
        <v>2.6067147779245987</v>
      </c>
    </row>
    <row r="34" spans="1:6">
      <c r="B34" s="3" t="s">
        <v>72</v>
      </c>
      <c r="C34" s="3"/>
      <c r="D34" s="3"/>
      <c r="E34" s="3"/>
      <c r="F34" s="3"/>
    </row>
    <row r="35" spans="1:6">
      <c r="A35" s="3" t="s">
        <v>73</v>
      </c>
      <c r="B35" s="3" t="s">
        <v>74</v>
      </c>
      <c r="C35" s="3" t="s">
        <v>75</v>
      </c>
      <c r="D35" s="3"/>
      <c r="E35" s="3" t="s">
        <v>65</v>
      </c>
      <c r="F35" s="3" t="s">
        <v>65</v>
      </c>
    </row>
    <row r="36" spans="1:6">
      <c r="A36" s="3" t="s">
        <v>76</v>
      </c>
      <c r="B36" s="3" t="s">
        <v>77</v>
      </c>
      <c r="C36" s="3" t="s">
        <v>77</v>
      </c>
      <c r="D36" s="3" t="s">
        <v>78</v>
      </c>
      <c r="E36" s="3" t="s">
        <v>79</v>
      </c>
      <c r="F36" s="3" t="s">
        <v>79</v>
      </c>
    </row>
    <row r="37" spans="1:6">
      <c r="A37" s="3" t="s">
        <v>80</v>
      </c>
      <c r="B37" s="3" t="s">
        <v>68</v>
      </c>
      <c r="C37" s="3" t="s">
        <v>71</v>
      </c>
      <c r="D37" s="3" t="s">
        <v>81</v>
      </c>
      <c r="E37" s="3" t="s">
        <v>82</v>
      </c>
      <c r="F37" s="3" t="s">
        <v>83</v>
      </c>
    </row>
    <row r="38" spans="1:6">
      <c r="B38" s="3"/>
      <c r="C38" s="3"/>
      <c r="D38" s="54"/>
      <c r="E38" s="3"/>
      <c r="F38" s="3"/>
    </row>
    <row r="39" spans="1:6">
      <c r="A39" s="1" t="s">
        <v>96</v>
      </c>
      <c r="B39" s="1">
        <v>126.8</v>
      </c>
      <c r="C39" s="1">
        <v>20.9</v>
      </c>
      <c r="D39" s="19">
        <f>(((B39)*(0.03942404))-0.19533397)*((760/$B$31)*((273.15+C39)/293.15))</f>
        <v>4.8722329383362721</v>
      </c>
      <c r="E39" s="19">
        <v>0.66</v>
      </c>
      <c r="F39" s="19">
        <f>0.980665*E39</f>
        <v>0.64723890000000006</v>
      </c>
    </row>
    <row r="40" spans="1:6">
      <c r="A40" s="1"/>
      <c r="B40" s="1">
        <v>174.8</v>
      </c>
      <c r="C40" s="1">
        <v>20.9</v>
      </c>
      <c r="D40" s="19"/>
      <c r="E40" s="19">
        <v>0.90500000000000003</v>
      </c>
      <c r="F40" s="19">
        <f t="shared" ref="F40:F45" si="0">0.980665*E40</f>
        <v>0.88750182500000008</v>
      </c>
    </row>
    <row r="41" spans="1:6">
      <c r="A41" s="1"/>
      <c r="B41" s="1">
        <v>224.4</v>
      </c>
      <c r="C41" s="1">
        <v>20.9</v>
      </c>
      <c r="D41" s="19">
        <f>(((B41)*(0.03942404))-0.19533397)*((760/$B$31)*((273.15+C41)/293.15))</f>
        <v>8.7749678243417542</v>
      </c>
      <c r="E41" s="19">
        <v>2.5299999999999998</v>
      </c>
      <c r="F41" s="19">
        <f t="shared" si="0"/>
        <v>2.4810824499999997</v>
      </c>
    </row>
    <row r="42" spans="1:6">
      <c r="A42" s="1"/>
      <c r="B42" s="1">
        <v>274.60000000000002</v>
      </c>
      <c r="C42" s="1">
        <v>20.9</v>
      </c>
      <c r="D42" s="19">
        <f>(((B42)*(0.03942404))-0.19533397)*((760/$B$31)*((273.15+C42)/293.15))</f>
        <v>10.782317120217524</v>
      </c>
      <c r="E42" s="19">
        <v>4.05</v>
      </c>
      <c r="F42" s="19">
        <f t="shared" si="0"/>
        <v>3.97169325</v>
      </c>
    </row>
    <row r="43" spans="1:6">
      <c r="A43" s="1"/>
      <c r="B43" s="1">
        <v>319.89999999999998</v>
      </c>
      <c r="C43" s="1">
        <v>20.9</v>
      </c>
      <c r="D43" s="19">
        <f>(((B43)*(0.03942404))-0.19533397)*((760/$B$31)*((273.15+C43)/293.15))</f>
        <v>12.593729931037689</v>
      </c>
      <c r="E43" s="19">
        <v>5.7</v>
      </c>
      <c r="F43" s="19">
        <f t="shared" si="0"/>
        <v>5.5897905000000003</v>
      </c>
    </row>
    <row r="44" spans="1:6">
      <c r="A44" s="1"/>
      <c r="B44" s="1">
        <v>375</v>
      </c>
      <c r="C44" s="1">
        <v>20.9</v>
      </c>
      <c r="D44" s="19">
        <f>(((B44)*(0.03942404))-0.19533397)*((760/$B$31)*((273.15+C44)/293.15))</f>
        <v>14.797015711969062</v>
      </c>
      <c r="E44" s="19">
        <v>8.6</v>
      </c>
      <c r="F44" s="19">
        <f t="shared" si="0"/>
        <v>8.433719</v>
      </c>
    </row>
    <row r="45" spans="1:6">
      <c r="A45" s="1"/>
      <c r="B45" s="1">
        <v>416.9</v>
      </c>
      <c r="C45" s="1">
        <v>20.9</v>
      </c>
      <c r="D45" s="19">
        <f>(((B45)*(0.03942404))-0.19533397)*((760/$B$31)*((273.15+C45)/293.15))</f>
        <v>16.472472594383301</v>
      </c>
      <c r="E45" s="19">
        <v>11.2</v>
      </c>
      <c r="F45" s="19">
        <f t="shared" si="0"/>
        <v>10.983447999999999</v>
      </c>
    </row>
    <row r="46" spans="1:6">
      <c r="A46" t="s">
        <v>67</v>
      </c>
      <c r="B46">
        <v>750.5</v>
      </c>
      <c r="C46" t="s">
        <v>68</v>
      </c>
    </row>
    <row r="47" spans="1:6">
      <c r="A47" t="s">
        <v>70</v>
      </c>
      <c r="B47">
        <v>21.5</v>
      </c>
      <c r="C47" t="s">
        <v>71</v>
      </c>
    </row>
    <row r="48" spans="1:6">
      <c r="A48" s="1" t="s">
        <v>97</v>
      </c>
      <c r="B48" s="1">
        <v>121.5</v>
      </c>
      <c r="C48" s="1">
        <v>21</v>
      </c>
      <c r="D48" s="19">
        <f>(((B48)*(0.011241544))-0.046859958)*((760/$B$46)*((273.15+C48)/293.15))</f>
        <v>1.3402399988521019</v>
      </c>
      <c r="E48" s="19">
        <v>4.4999999999999998E-2</v>
      </c>
      <c r="F48" s="19">
        <f>0.980665*E48</f>
        <v>4.4129925E-2</v>
      </c>
    </row>
    <row r="49" spans="1:6">
      <c r="A49" s="1"/>
      <c r="B49" s="1">
        <v>156.9</v>
      </c>
      <c r="C49" s="1">
        <v>21</v>
      </c>
      <c r="D49" s="19">
        <f>(((B49)*(0.011241544))-0.046859958)*((760/$B$46)*((273.15+C49)/293.15))</f>
        <v>1.7446026884780204</v>
      </c>
      <c r="E49" s="19">
        <v>6.5000000000000002E-2</v>
      </c>
      <c r="F49" s="19">
        <f>0.980665*E49</f>
        <v>6.3743225000000001E-2</v>
      </c>
    </row>
    <row r="50" spans="1:6">
      <c r="B50" s="1">
        <v>205.4</v>
      </c>
      <c r="C50" s="1">
        <v>21</v>
      </c>
      <c r="D50" s="19">
        <f>(((B50)*(0.011241544))-0.046859958)*((760/$B$46)*((273.15+C50)/293.15))</f>
        <v>2.298602418615225</v>
      </c>
      <c r="E50" s="19">
        <v>0.12</v>
      </c>
      <c r="F50" s="19">
        <f>0.980665*E50</f>
        <v>0.1176798</v>
      </c>
    </row>
    <row r="51" spans="1:6">
      <c r="A51" s="1"/>
      <c r="B51" s="1">
        <v>303.2</v>
      </c>
      <c r="C51" s="1">
        <v>21</v>
      </c>
      <c r="D51" s="19">
        <f>(((B51)*(0.011241544))-0.046859958)*((760/$B$46)*((273.15+C51)/293.15))</f>
        <v>3.4157400187681857</v>
      </c>
      <c r="E51" s="19">
        <v>0.28000000000000003</v>
      </c>
      <c r="F51" s="19">
        <f>0.980665*E51</f>
        <v>0.2745862</v>
      </c>
    </row>
    <row r="52" spans="1:6">
      <c r="A52" s="1"/>
      <c r="B52" s="1">
        <v>355.9</v>
      </c>
      <c r="C52" s="1">
        <v>21</v>
      </c>
      <c r="D52" s="19">
        <f>(((B52)*(0.011241544))-0.046859958)*((760/$B$46)*((273.15+C52)/293.15))</f>
        <v>4.017714983267787</v>
      </c>
      <c r="E52" s="19">
        <v>0.4</v>
      </c>
      <c r="F52" s="19">
        <f>0.980665*E52</f>
        <v>0.392266</v>
      </c>
    </row>
  </sheetData>
  <phoneticPr fontId="2" type="noConversion"/>
  <pageMargins left="0.75" right="0.75" top="1" bottom="1" header="0.5" footer="0.5"/>
  <pageSetup scale="73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51"/>
  <sheetViews>
    <sheetView topLeftCell="A4" zoomScaleNormal="100" workbookViewId="0">
      <selection activeCell="U24" sqref="U24"/>
    </sheetView>
  </sheetViews>
  <sheetFormatPr defaultRowHeight="12.75"/>
  <cols>
    <col min="1" max="1" width="10.140625" customWidth="1"/>
    <col min="5" max="5" width="9.85546875" customWidth="1"/>
  </cols>
  <sheetData>
    <row r="1" spans="1:5">
      <c r="A1" s="4" t="s">
        <v>117</v>
      </c>
      <c r="E1" s="17"/>
    </row>
    <row r="3" spans="1:5">
      <c r="A3" s="3" t="s">
        <v>64</v>
      </c>
      <c r="B3" s="3" t="s">
        <v>86</v>
      </c>
    </row>
    <row r="4" spans="1:5">
      <c r="A4" s="18">
        <v>7</v>
      </c>
      <c r="B4" s="16">
        <v>4.8899999999999997</v>
      </c>
    </row>
    <row r="5" spans="1:5">
      <c r="A5" s="18">
        <v>8</v>
      </c>
      <c r="B5" s="16">
        <v>4.34</v>
      </c>
    </row>
    <row r="6" spans="1:5">
      <c r="A6" s="18">
        <v>8.5</v>
      </c>
      <c r="B6" s="16">
        <v>4.09</v>
      </c>
    </row>
    <row r="7" spans="1:5">
      <c r="A7" s="18">
        <v>9</v>
      </c>
      <c r="B7" s="16">
        <v>3.91</v>
      </c>
    </row>
    <row r="8" spans="1:5">
      <c r="A8" s="18">
        <v>9.5</v>
      </c>
      <c r="B8" s="16">
        <v>3.67</v>
      </c>
    </row>
    <row r="9" spans="1:5">
      <c r="A9" s="18">
        <v>10</v>
      </c>
      <c r="B9" s="16">
        <v>3.47</v>
      </c>
    </row>
    <row r="10" spans="1:5">
      <c r="A10" s="1"/>
      <c r="B10" s="16"/>
    </row>
    <row r="17" spans="1:5" ht="13.5" thickBot="1"/>
    <row r="18" spans="1:5">
      <c r="A18" s="10" t="s">
        <v>55</v>
      </c>
      <c r="B18" s="11"/>
    </row>
    <row r="19" spans="1:5">
      <c r="A19" s="20" t="s">
        <v>60</v>
      </c>
      <c r="B19" s="21"/>
    </row>
    <row r="20" spans="1:5">
      <c r="A20" s="20" t="s">
        <v>62</v>
      </c>
      <c r="B20" s="21"/>
    </row>
    <row r="21" spans="1:5">
      <c r="A21" s="37" t="s">
        <v>64</v>
      </c>
      <c r="B21" s="40" t="s">
        <v>65</v>
      </c>
    </row>
    <row r="22" spans="1:5" ht="13.5" thickBot="1">
      <c r="A22" s="58">
        <v>8.5</v>
      </c>
      <c r="B22" s="59">
        <f>31.425*(A22)^-0.9534</f>
        <v>4.0847669405969578</v>
      </c>
    </row>
    <row r="27" spans="1:5" ht="15">
      <c r="A27" s="57" t="s">
        <v>118</v>
      </c>
    </row>
    <row r="28" spans="1:5">
      <c r="A28" s="17">
        <v>40778</v>
      </c>
      <c r="B28" s="14" t="s">
        <v>91</v>
      </c>
      <c r="C28" t="s">
        <v>92</v>
      </c>
    </row>
    <row r="29" spans="1:5">
      <c r="A29" t="s">
        <v>119</v>
      </c>
    </row>
    <row r="30" spans="1:5">
      <c r="A30" s="25"/>
      <c r="E30" t="s">
        <v>120</v>
      </c>
    </row>
    <row r="31" spans="1:5">
      <c r="A31" t="s">
        <v>66</v>
      </c>
    </row>
    <row r="32" spans="1:5">
      <c r="A32" t="s">
        <v>67</v>
      </c>
      <c r="B32">
        <v>758.8</v>
      </c>
      <c r="C32" t="s">
        <v>68</v>
      </c>
      <c r="E32" t="s">
        <v>69</v>
      </c>
    </row>
    <row r="33" spans="1:15">
      <c r="A33" t="s">
        <v>70</v>
      </c>
      <c r="B33">
        <v>21.1</v>
      </c>
      <c r="C33" t="s">
        <v>71</v>
      </c>
    </row>
    <row r="35" spans="1:15">
      <c r="B35" s="3" t="s">
        <v>72</v>
      </c>
      <c r="C35" s="3"/>
      <c r="D35" s="3"/>
      <c r="E35" s="3"/>
      <c r="F35" s="3"/>
    </row>
    <row r="36" spans="1:15">
      <c r="A36" s="3" t="s">
        <v>73</v>
      </c>
      <c r="B36" s="3" t="s">
        <v>74</v>
      </c>
      <c r="C36" s="3" t="s">
        <v>75</v>
      </c>
      <c r="D36" s="3"/>
      <c r="E36" s="3" t="s">
        <v>65</v>
      </c>
      <c r="F36" s="3" t="s">
        <v>65</v>
      </c>
      <c r="L36" s="50"/>
    </row>
    <row r="37" spans="1:15">
      <c r="A37" s="3" t="s">
        <v>76</v>
      </c>
      <c r="B37" s="3" t="s">
        <v>77</v>
      </c>
      <c r="C37" s="3" t="s">
        <v>77</v>
      </c>
      <c r="D37" s="3" t="s">
        <v>78</v>
      </c>
      <c r="E37" s="3" t="s">
        <v>79</v>
      </c>
      <c r="F37" s="3" t="s">
        <v>79</v>
      </c>
    </row>
    <row r="38" spans="1:15">
      <c r="A38" s="3" t="s">
        <v>80</v>
      </c>
      <c r="B38" s="3" t="s">
        <v>68</v>
      </c>
      <c r="C38" s="3" t="s">
        <v>71</v>
      </c>
      <c r="D38" s="3" t="s">
        <v>81</v>
      </c>
      <c r="E38" s="3" t="s">
        <v>82</v>
      </c>
      <c r="F38" s="3" t="s">
        <v>83</v>
      </c>
    </row>
    <row r="39" spans="1:15">
      <c r="B39" s="3"/>
      <c r="C39" s="3"/>
      <c r="D39" s="54"/>
      <c r="E39" s="3"/>
      <c r="F39" s="3"/>
    </row>
    <row r="40" spans="1:15">
      <c r="A40" s="1" t="s">
        <v>121</v>
      </c>
      <c r="B40" s="1">
        <v>141.94999999999999</v>
      </c>
      <c r="C40" s="1">
        <v>20.9</v>
      </c>
      <c r="D40" s="19">
        <f>(((B40)*(0.039661722))-0.149209164)*((760/$B$6)*((273.15+C40)/293.15))</f>
        <v>1021.558700538101</v>
      </c>
      <c r="E40" s="19">
        <v>1.3</v>
      </c>
      <c r="F40" s="19">
        <f>0.980665*E40</f>
        <v>1.2748645000000001</v>
      </c>
    </row>
    <row r="41" spans="1:15">
      <c r="A41" s="1"/>
      <c r="B41" s="1">
        <v>182.5</v>
      </c>
      <c r="C41" s="1">
        <v>20.9</v>
      </c>
      <c r="D41" s="19">
        <f>(((B41)*(0.039661722))-0.149209164)*((760/$B$6)*((273.15+C41)/293.15))</f>
        <v>1321.3258196307775</v>
      </c>
      <c r="E41" s="19">
        <v>2</v>
      </c>
      <c r="F41" s="19">
        <f>0.980665*E41</f>
        <v>1.96133</v>
      </c>
      <c r="I41" s="51"/>
      <c r="K41" s="51"/>
    </row>
    <row r="42" spans="1:15">
      <c r="A42" s="1"/>
      <c r="B42" s="1">
        <v>243.7</v>
      </c>
      <c r="C42" s="1">
        <v>20.9</v>
      </c>
      <c r="D42" s="19">
        <f>(((B42)*(0.039661722))-0.149209164)*((760/$B$6)*((273.15+C42)/293.15))</f>
        <v>1773.7486972749646</v>
      </c>
      <c r="E42" s="19">
        <v>3.7</v>
      </c>
      <c r="F42" s="19">
        <f>0.980665*E42</f>
        <v>3.6284605000000001</v>
      </c>
      <c r="I42" s="51"/>
      <c r="J42" s="51"/>
      <c r="K42" s="51"/>
    </row>
    <row r="43" spans="1:15">
      <c r="A43" s="1"/>
      <c r="B43" s="1">
        <v>295.2</v>
      </c>
      <c r="C43" s="1">
        <v>21</v>
      </c>
      <c r="D43" s="19">
        <f>(((B43)*(0.039661722))-0.149209164)*((760/$B$6)*((273.15+C43)/293.15))</f>
        <v>2155.1967136058183</v>
      </c>
      <c r="E43" s="19">
        <v>5.4</v>
      </c>
      <c r="F43" s="19">
        <f>0.980665*E43</f>
        <v>5.2955910000000008</v>
      </c>
      <c r="I43" s="51"/>
      <c r="J43" s="51"/>
      <c r="K43" s="51"/>
      <c r="N43" s="3"/>
    </row>
    <row r="44" spans="1:15">
      <c r="B44" s="1">
        <v>355.4</v>
      </c>
      <c r="C44" s="1">
        <v>21</v>
      </c>
      <c r="D44" s="19">
        <f>(((B44)*(0.039661722))-0.149209164)*((760/$B$6)*((273.15+C44)/293.15))</f>
        <v>2600.3784056968921</v>
      </c>
      <c r="E44" s="19">
        <v>7.8</v>
      </c>
      <c r="F44" s="19">
        <f>0.980665*E44</f>
        <v>7.6491869999999995</v>
      </c>
      <c r="I44" s="51"/>
      <c r="J44" s="51"/>
      <c r="K44" s="51"/>
      <c r="N44" s="3"/>
    </row>
    <row r="45" spans="1:15" ht="13.5" thickBot="1">
      <c r="I45" s="51"/>
      <c r="J45" s="51"/>
      <c r="K45" s="51"/>
      <c r="N45" s="3"/>
    </row>
    <row r="46" spans="1:15">
      <c r="A46" s="10" t="s">
        <v>55</v>
      </c>
      <c r="B46" s="11"/>
      <c r="C46" s="1"/>
      <c r="I46" s="51"/>
      <c r="J46" s="51"/>
      <c r="K46" s="51"/>
    </row>
    <row r="47" spans="1:15">
      <c r="A47" s="20" t="s">
        <v>60</v>
      </c>
      <c r="B47" s="21"/>
      <c r="C47" s="1"/>
      <c r="I47" s="51"/>
      <c r="J47" s="51"/>
      <c r="K47" s="51"/>
      <c r="O47" t="s">
        <v>105</v>
      </c>
    </row>
    <row r="48" spans="1:15">
      <c r="A48" s="20" t="s">
        <v>62</v>
      </c>
      <c r="B48" s="21"/>
      <c r="C48" s="1"/>
      <c r="D48" s="19"/>
      <c r="I48" s="51"/>
      <c r="J48" s="51"/>
      <c r="K48" s="51"/>
    </row>
    <row r="49" spans="1:11">
      <c r="A49" s="37" t="s">
        <v>64</v>
      </c>
      <c r="B49" s="40" t="s">
        <v>65</v>
      </c>
      <c r="C49" s="1"/>
      <c r="I49" s="51"/>
      <c r="J49" s="51"/>
      <c r="K49" s="51"/>
    </row>
    <row r="50" spans="1:11" ht="13.5" thickBot="1">
      <c r="A50" s="22">
        <v>10</v>
      </c>
      <c r="B50" s="56">
        <f>0.043767715*A50^(1.9631988)</f>
        <v>4.0211722219125692</v>
      </c>
      <c r="I50" s="51"/>
      <c r="J50" s="51"/>
      <c r="K50" s="51"/>
    </row>
    <row r="51" spans="1:11">
      <c r="D51" s="19"/>
      <c r="E51" s="19"/>
      <c r="F51" s="19"/>
      <c r="I51" s="51"/>
      <c r="J51" s="51"/>
      <c r="K51" s="51"/>
    </row>
  </sheetData>
  <phoneticPr fontId="2" type="noConversion"/>
  <pageMargins left="0.75" right="0.75" top="1" bottom="1" header="0.5" footer="0.5"/>
  <pageSetup scale="65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3"/>
  <sheetViews>
    <sheetView zoomScaleNormal="100" workbookViewId="0">
      <selection activeCell="F24" sqref="F24"/>
    </sheetView>
  </sheetViews>
  <sheetFormatPr defaultRowHeight="12.75"/>
  <cols>
    <col min="1" max="1" width="10" customWidth="1"/>
    <col min="2" max="2" width="13" customWidth="1"/>
    <col min="3" max="3" width="9.85546875" customWidth="1"/>
    <col min="5" max="5" width="10.42578125" bestFit="1" customWidth="1"/>
  </cols>
  <sheetData>
    <row r="1" spans="1:5">
      <c r="A1" s="1" t="s">
        <v>57</v>
      </c>
      <c r="B1" s="1" t="s">
        <v>86</v>
      </c>
      <c r="C1" t="s">
        <v>34</v>
      </c>
      <c r="D1" t="s">
        <v>92</v>
      </c>
      <c r="E1" s="17">
        <v>38605</v>
      </c>
    </row>
    <row r="2" spans="1:5">
      <c r="A2" s="18">
        <v>0.5</v>
      </c>
      <c r="B2" s="1">
        <v>5.0060000000000002</v>
      </c>
    </row>
    <row r="3" spans="1:5">
      <c r="A3" s="18">
        <v>1</v>
      </c>
      <c r="B3" s="1">
        <v>2.2389999999999999</v>
      </c>
    </row>
    <row r="4" spans="1:5">
      <c r="A4" s="18">
        <v>1.5</v>
      </c>
      <c r="B4" s="1">
        <v>1.3979999999999999</v>
      </c>
    </row>
    <row r="5" spans="1:5">
      <c r="A5" s="18">
        <v>2</v>
      </c>
      <c r="B5" s="1">
        <v>1.0009999999999999</v>
      </c>
    </row>
    <row r="6" spans="1:5">
      <c r="A6" s="18">
        <v>2.5</v>
      </c>
      <c r="B6" s="1">
        <v>0.77300000000000002</v>
      </c>
    </row>
    <row r="7" spans="1:5">
      <c r="A7" s="18">
        <v>3</v>
      </c>
      <c r="B7" s="1">
        <v>0.625</v>
      </c>
    </row>
    <row r="8" spans="1:5">
      <c r="A8" s="18">
        <v>3.5</v>
      </c>
      <c r="B8" s="1">
        <v>0.52300000000000002</v>
      </c>
    </row>
    <row r="9" spans="1:5">
      <c r="A9" s="18">
        <v>4</v>
      </c>
      <c r="B9" s="1">
        <v>0.44800000000000001</v>
      </c>
    </row>
    <row r="10" spans="1:5" ht="13.5" thickBot="1"/>
    <row r="11" spans="1:5">
      <c r="A11" s="10" t="s">
        <v>55</v>
      </c>
      <c r="B11" s="11"/>
    </row>
    <row r="12" spans="1:5">
      <c r="A12" s="33" t="s">
        <v>122</v>
      </c>
      <c r="B12" s="21"/>
    </row>
    <row r="13" spans="1:5">
      <c r="A13" s="36" t="s">
        <v>59</v>
      </c>
      <c r="B13" s="21"/>
    </row>
    <row r="14" spans="1:5">
      <c r="A14" s="37" t="s">
        <v>64</v>
      </c>
      <c r="B14" s="38" t="s">
        <v>86</v>
      </c>
    </row>
    <row r="15" spans="1:5" ht="13.5" thickBot="1">
      <c r="A15" s="22">
        <v>0.9</v>
      </c>
      <c r="B15" s="39">
        <f>2.2387*(A15^-1.1608)</f>
        <v>2.5299456665257556</v>
      </c>
    </row>
    <row r="19" spans="1:12" ht="13.5" thickBot="1"/>
    <row r="20" spans="1:12">
      <c r="A20" s="17">
        <v>39835</v>
      </c>
      <c r="E20" s="10" t="s">
        <v>55</v>
      </c>
      <c r="F20" s="11"/>
    </row>
    <row r="21" spans="1:12">
      <c r="A21" t="s">
        <v>66</v>
      </c>
      <c r="E21" s="20" t="s">
        <v>60</v>
      </c>
      <c r="F21" s="21"/>
    </row>
    <row r="22" spans="1:12">
      <c r="A22" t="s">
        <v>67</v>
      </c>
      <c r="B22">
        <v>755.7</v>
      </c>
      <c r="C22" t="s">
        <v>68</v>
      </c>
      <c r="E22" s="20" t="s">
        <v>62</v>
      </c>
      <c r="F22" s="21"/>
    </row>
    <row r="23" spans="1:12">
      <c r="A23" t="s">
        <v>70</v>
      </c>
      <c r="B23">
        <v>20.2</v>
      </c>
      <c r="C23" t="s">
        <v>71</v>
      </c>
      <c r="E23" s="37" t="s">
        <v>64</v>
      </c>
      <c r="F23" s="40" t="s">
        <v>95</v>
      </c>
    </row>
    <row r="24" spans="1:12" ht="13.5" thickBot="1">
      <c r="E24" s="22">
        <v>10</v>
      </c>
      <c r="F24" s="23">
        <f>2.4486907*(E24)^2.0119551</f>
        <v>251.70337089934486</v>
      </c>
      <c r="L24" s="50"/>
    </row>
    <row r="25" spans="1:12">
      <c r="B25" s="3" t="s">
        <v>72</v>
      </c>
      <c r="C25" s="3"/>
      <c r="D25" s="3"/>
      <c r="E25" s="3"/>
      <c r="F25" s="3"/>
    </row>
    <row r="26" spans="1:12">
      <c r="A26" s="3" t="s">
        <v>73</v>
      </c>
      <c r="B26" s="3" t="s">
        <v>74</v>
      </c>
      <c r="C26" s="3" t="s">
        <v>75</v>
      </c>
      <c r="D26" s="3"/>
      <c r="E26" s="3" t="s">
        <v>65</v>
      </c>
      <c r="F26" s="3" t="s">
        <v>65</v>
      </c>
    </row>
    <row r="27" spans="1:12">
      <c r="A27" s="3" t="s">
        <v>76</v>
      </c>
      <c r="B27" s="3" t="s">
        <v>77</v>
      </c>
      <c r="C27" s="3" t="s">
        <v>77</v>
      </c>
      <c r="D27" s="3" t="s">
        <v>78</v>
      </c>
      <c r="E27" s="3" t="s">
        <v>79</v>
      </c>
      <c r="F27" s="3" t="s">
        <v>79</v>
      </c>
    </row>
    <row r="28" spans="1:12">
      <c r="A28" s="3" t="s">
        <v>80</v>
      </c>
      <c r="B28" s="3" t="s">
        <v>68</v>
      </c>
      <c r="C28" s="3" t="s">
        <v>71</v>
      </c>
      <c r="D28" s="3" t="s">
        <v>81</v>
      </c>
      <c r="E28" s="3" t="s">
        <v>82</v>
      </c>
      <c r="F28" s="3" t="s">
        <v>83</v>
      </c>
    </row>
    <row r="29" spans="1:12">
      <c r="A29" t="s">
        <v>67</v>
      </c>
      <c r="B29">
        <v>750</v>
      </c>
      <c r="C29" t="s">
        <v>68</v>
      </c>
      <c r="I29" s="51"/>
      <c r="K29" s="51"/>
    </row>
    <row r="30" spans="1:12">
      <c r="A30" t="s">
        <v>70</v>
      </c>
      <c r="B30">
        <v>19.600000000000001</v>
      </c>
      <c r="C30" t="s">
        <v>71</v>
      </c>
      <c r="I30" s="51"/>
      <c r="J30" s="51"/>
      <c r="K30" s="51"/>
    </row>
    <row r="31" spans="1:12">
      <c r="A31" s="1" t="s">
        <v>85</v>
      </c>
      <c r="B31" s="1">
        <v>135.9</v>
      </c>
      <c r="C31" s="1">
        <v>20.5</v>
      </c>
      <c r="D31" s="19">
        <f>(((B31)*(0.010548501))-0.04391105)*((760/$B$29)*((273.15+C31)/293.15))</f>
        <v>1.410560410559994</v>
      </c>
      <c r="E31" s="19">
        <v>4.91</v>
      </c>
      <c r="F31" s="19">
        <f>0.980665*E31</f>
        <v>4.8150651500000006</v>
      </c>
      <c r="I31" s="51"/>
      <c r="J31" s="51"/>
      <c r="K31" s="51"/>
    </row>
    <row r="32" spans="1:12">
      <c r="A32" s="1"/>
      <c r="B32" s="1"/>
      <c r="C32" s="1"/>
      <c r="D32" s="19"/>
      <c r="E32" s="19"/>
      <c r="F32" s="19"/>
      <c r="I32" s="51"/>
      <c r="J32" s="51"/>
      <c r="K32" s="51"/>
    </row>
    <row r="33" spans="1:12">
      <c r="B33" s="1"/>
      <c r="C33" s="1"/>
      <c r="D33" s="19"/>
      <c r="E33" s="19"/>
      <c r="F33" s="19"/>
      <c r="I33" s="51"/>
      <c r="J33" s="51"/>
      <c r="K33" s="51"/>
    </row>
    <row r="34" spans="1:12">
      <c r="A34" t="s">
        <v>67</v>
      </c>
      <c r="B34">
        <v>755.7</v>
      </c>
      <c r="C34" t="s">
        <v>68</v>
      </c>
      <c r="I34" s="51"/>
      <c r="J34" s="51"/>
      <c r="K34" s="51"/>
    </row>
    <row r="35" spans="1:12">
      <c r="A35" t="s">
        <v>70</v>
      </c>
      <c r="B35">
        <v>20.2</v>
      </c>
      <c r="C35" t="s">
        <v>71</v>
      </c>
      <c r="I35" s="51"/>
      <c r="J35" s="51"/>
      <c r="K35" s="51"/>
    </row>
    <row r="36" spans="1:12">
      <c r="I36" s="51"/>
      <c r="J36" s="51"/>
      <c r="K36" s="51"/>
    </row>
    <row r="37" spans="1:12">
      <c r="A37" s="1" t="s">
        <v>123</v>
      </c>
      <c r="B37" s="1">
        <v>241.65</v>
      </c>
      <c r="C37" s="1">
        <v>20.6</v>
      </c>
      <c r="D37" s="19">
        <f>(((B37)*(0.001695476))-0.022455988)*((760/$B$34)*((273.15+C37)/293.15))</f>
        <v>0.39025642667402083</v>
      </c>
      <c r="E37" s="19">
        <v>0.48</v>
      </c>
      <c r="F37" s="19">
        <f>0.980665*E37</f>
        <v>0.4707192</v>
      </c>
      <c r="I37" s="51"/>
      <c r="J37" s="51"/>
      <c r="K37" s="51"/>
    </row>
    <row r="38" spans="1:12">
      <c r="A38" s="1"/>
      <c r="B38" s="1">
        <v>448.9</v>
      </c>
      <c r="C38" s="1">
        <v>20.6</v>
      </c>
      <c r="D38" s="19">
        <f>(((B38)*(0.001695476))-0.022455988)*((760/$B$34)*((273.15+C38)/293.15))</f>
        <v>0.74436654188551321</v>
      </c>
      <c r="E38" s="19">
        <v>1.38</v>
      </c>
      <c r="F38" s="19">
        <f>0.980665*E38</f>
        <v>1.3533176999999998</v>
      </c>
      <c r="I38" s="51"/>
      <c r="J38" s="51"/>
      <c r="K38" s="51"/>
    </row>
    <row r="39" spans="1:12">
      <c r="B39" s="1">
        <v>532.70000000000005</v>
      </c>
      <c r="C39" s="1">
        <v>20.6</v>
      </c>
      <c r="D39" s="19">
        <f>(((B39)*(0.001695476))-0.022455988)*((760/$B$34)*((273.15+C39)/293.15))</f>
        <v>0.88754833997826632</v>
      </c>
      <c r="E39" s="19">
        <v>1.84</v>
      </c>
      <c r="F39" s="19">
        <f>0.980665*E39</f>
        <v>1.8044236</v>
      </c>
      <c r="I39" s="51"/>
      <c r="J39" s="51"/>
      <c r="K39" s="51"/>
    </row>
    <row r="40" spans="1:12">
      <c r="E40" t="s">
        <v>105</v>
      </c>
      <c r="I40" s="51"/>
      <c r="J40" s="51"/>
      <c r="K40" s="51"/>
      <c r="L40" s="51"/>
    </row>
    <row r="41" spans="1:12">
      <c r="I41" s="51"/>
      <c r="J41" s="51"/>
      <c r="K41" s="51"/>
      <c r="L41" s="51"/>
    </row>
    <row r="42" spans="1:12">
      <c r="I42" s="51"/>
      <c r="J42" s="51"/>
      <c r="K42" s="51"/>
      <c r="L42" s="51"/>
    </row>
    <row r="43" spans="1:12">
      <c r="I43" s="51"/>
      <c r="J43" s="51"/>
      <c r="K43" s="51"/>
      <c r="L43" s="51"/>
    </row>
  </sheetData>
  <phoneticPr fontId="2" type="noConversion"/>
  <pageMargins left="0.75" right="0.75" top="1" bottom="1" header="0.5" footer="0.5"/>
  <pageSetup scale="88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44"/>
  <sheetViews>
    <sheetView zoomScaleNormal="100" workbookViewId="0"/>
  </sheetViews>
  <sheetFormatPr defaultRowHeight="12.75"/>
  <cols>
    <col min="1" max="1" width="10.42578125" customWidth="1"/>
    <col min="2" max="2" width="12" customWidth="1"/>
    <col min="3" max="3" width="9.85546875" customWidth="1"/>
    <col min="5" max="5" width="10.42578125" bestFit="1" customWidth="1"/>
  </cols>
  <sheetData>
    <row r="1" spans="1:5">
      <c r="A1" s="1" t="s">
        <v>57</v>
      </c>
      <c r="B1" s="1" t="s">
        <v>86</v>
      </c>
      <c r="C1" t="s">
        <v>36</v>
      </c>
      <c r="D1" t="s">
        <v>92</v>
      </c>
      <c r="E1" s="17">
        <v>38609</v>
      </c>
    </row>
    <row r="2" spans="1:5">
      <c r="A2" s="18">
        <v>1</v>
      </c>
      <c r="B2" s="1">
        <v>6.4790000000000001</v>
      </c>
    </row>
    <row r="3" spans="1:5">
      <c r="A3" s="18">
        <v>2</v>
      </c>
      <c r="B3" s="1">
        <v>2.8969999999999998</v>
      </c>
    </row>
    <row r="4" spans="1:5">
      <c r="A4" s="18">
        <v>3</v>
      </c>
      <c r="B4" s="1">
        <v>1.81</v>
      </c>
    </row>
    <row r="5" spans="1:5">
      <c r="A5" s="18">
        <v>4</v>
      </c>
      <c r="B5" s="1">
        <v>1.296</v>
      </c>
    </row>
    <row r="6" spans="1:5">
      <c r="A6" s="18">
        <v>5</v>
      </c>
      <c r="B6" s="1">
        <v>1</v>
      </c>
    </row>
    <row r="7" spans="1:5">
      <c r="A7" s="18">
        <v>6</v>
      </c>
      <c r="B7" s="1">
        <v>0.80900000000000005</v>
      </c>
    </row>
    <row r="8" spans="1:5">
      <c r="A8" s="18"/>
      <c r="B8" s="1"/>
    </row>
    <row r="9" spans="1:5">
      <c r="A9" s="18"/>
      <c r="B9" s="1"/>
    </row>
    <row r="10" spans="1:5" ht="13.5" thickBot="1"/>
    <row r="11" spans="1:5">
      <c r="A11" s="10" t="s">
        <v>55</v>
      </c>
      <c r="B11" s="11"/>
    </row>
    <row r="12" spans="1:5">
      <c r="A12" s="33" t="s">
        <v>122</v>
      </c>
      <c r="B12" s="21"/>
    </row>
    <row r="13" spans="1:5">
      <c r="A13" s="36" t="s">
        <v>59</v>
      </c>
      <c r="B13" s="21"/>
    </row>
    <row r="14" spans="1:5">
      <c r="A14" s="37" t="s">
        <v>64</v>
      </c>
      <c r="B14" s="38" t="s">
        <v>86</v>
      </c>
    </row>
    <row r="15" spans="1:5" ht="13.5" thickBot="1">
      <c r="A15" s="22">
        <v>8</v>
      </c>
      <c r="B15" s="39">
        <f>6.4793*(A15^-1.161)</f>
        <v>0.5794828853865287</v>
      </c>
    </row>
    <row r="19" spans="1:12" ht="13.5" thickBot="1"/>
    <row r="20" spans="1:12">
      <c r="A20" s="17">
        <v>39833</v>
      </c>
      <c r="E20" s="10" t="s">
        <v>55</v>
      </c>
      <c r="F20" s="11"/>
    </row>
    <row r="21" spans="1:12">
      <c r="A21" t="s">
        <v>66</v>
      </c>
      <c r="E21" s="20" t="s">
        <v>60</v>
      </c>
      <c r="F21" s="21"/>
    </row>
    <row r="22" spans="1:12">
      <c r="A22" t="s">
        <v>67</v>
      </c>
      <c r="B22">
        <v>750.4</v>
      </c>
      <c r="C22" t="s">
        <v>68</v>
      </c>
      <c r="E22" s="20" t="s">
        <v>62</v>
      </c>
      <c r="F22" s="21"/>
    </row>
    <row r="23" spans="1:12">
      <c r="A23" t="s">
        <v>70</v>
      </c>
      <c r="B23">
        <v>19.600000000000001</v>
      </c>
      <c r="C23" t="s">
        <v>71</v>
      </c>
      <c r="E23" s="37" t="s">
        <v>64</v>
      </c>
      <c r="F23" s="40" t="s">
        <v>95</v>
      </c>
    </row>
    <row r="24" spans="1:12" ht="13.5" thickBot="1">
      <c r="E24" s="22">
        <v>10</v>
      </c>
      <c r="F24" s="23">
        <f>0.28341769*(E24)^2.2305144</f>
        <v>48.188272102850433</v>
      </c>
      <c r="L24" s="50"/>
    </row>
    <row r="25" spans="1:12">
      <c r="B25" s="3" t="s">
        <v>72</v>
      </c>
      <c r="C25" s="3"/>
      <c r="D25" s="3"/>
      <c r="E25" s="3"/>
      <c r="F25" s="3"/>
    </row>
    <row r="26" spans="1:12">
      <c r="A26" s="3" t="s">
        <v>73</v>
      </c>
      <c r="B26" s="3" t="s">
        <v>74</v>
      </c>
      <c r="C26" s="3" t="s">
        <v>75</v>
      </c>
      <c r="D26" s="3"/>
      <c r="E26" s="3" t="s">
        <v>65</v>
      </c>
      <c r="F26" s="3" t="s">
        <v>65</v>
      </c>
    </row>
    <row r="27" spans="1:12">
      <c r="A27" s="3" t="s">
        <v>76</v>
      </c>
      <c r="B27" s="3" t="s">
        <v>77</v>
      </c>
      <c r="C27" s="3" t="s">
        <v>77</v>
      </c>
      <c r="D27" s="3" t="s">
        <v>78</v>
      </c>
      <c r="E27" s="3" t="s">
        <v>79</v>
      </c>
      <c r="F27" s="3" t="s">
        <v>79</v>
      </c>
    </row>
    <row r="28" spans="1:12">
      <c r="A28" s="3" t="s">
        <v>80</v>
      </c>
      <c r="B28" s="3" t="s">
        <v>68</v>
      </c>
      <c r="C28" s="3" t="s">
        <v>71</v>
      </c>
      <c r="D28" s="3" t="s">
        <v>81</v>
      </c>
      <c r="E28" s="3" t="s">
        <v>82</v>
      </c>
      <c r="F28" s="3" t="s">
        <v>83</v>
      </c>
    </row>
    <row r="29" spans="1:12">
      <c r="A29" t="s">
        <v>67</v>
      </c>
      <c r="B29">
        <v>750</v>
      </c>
      <c r="C29" t="s">
        <v>68</v>
      </c>
      <c r="I29" s="51"/>
      <c r="K29" s="51"/>
    </row>
    <row r="30" spans="1:12">
      <c r="A30" t="s">
        <v>70</v>
      </c>
      <c r="B30">
        <v>19.600000000000001</v>
      </c>
      <c r="C30" t="s">
        <v>71</v>
      </c>
      <c r="I30" s="51"/>
      <c r="J30" s="51"/>
      <c r="K30" s="51"/>
    </row>
    <row r="31" spans="1:12">
      <c r="A31" s="1" t="s">
        <v>85</v>
      </c>
      <c r="B31" s="1">
        <v>135.80000000000001</v>
      </c>
      <c r="C31" s="1">
        <v>20.2</v>
      </c>
      <c r="D31" s="19">
        <f>(((B31)*(0.010548501))-0.04391105)*((760/$B$29)*((273.15+C31)/293.15))</f>
        <v>1.4080497036218855</v>
      </c>
      <c r="E31" s="19">
        <v>0.68</v>
      </c>
      <c r="F31" s="19">
        <f>0.980665*E31</f>
        <v>0.66685220000000001</v>
      </c>
      <c r="I31" s="51"/>
      <c r="J31" s="51"/>
      <c r="K31" s="51"/>
    </row>
    <row r="32" spans="1:12">
      <c r="A32" s="1"/>
      <c r="B32" s="1">
        <v>249.5</v>
      </c>
      <c r="C32" s="1">
        <v>20.2</v>
      </c>
      <c r="D32" s="19">
        <f>(((B32)*(0.010548501))-0.04391105)*((760/$B$29)*((273.15+C32)/293.15))</f>
        <v>2.6242349649495793</v>
      </c>
      <c r="E32" s="19">
        <v>2.4500000000000002</v>
      </c>
      <c r="F32" s="19">
        <f>0.980665*E32</f>
        <v>2.4026292500000004</v>
      </c>
      <c r="I32" s="51"/>
      <c r="J32" s="51"/>
      <c r="K32" s="51"/>
    </row>
    <row r="33" spans="1:12">
      <c r="B33" s="1">
        <v>347.1</v>
      </c>
      <c r="C33" s="1">
        <v>20.2</v>
      </c>
      <c r="D33" s="19">
        <f>(((B33)*(0.010548501))-0.04391105)*((760/$B$29)*((273.15+C33)/293.15))</f>
        <v>3.668207537558049</v>
      </c>
      <c r="E33" s="19">
        <v>5.0999999999999996</v>
      </c>
      <c r="F33" s="19">
        <f>0.980665*E33</f>
        <v>5.0013914999999995</v>
      </c>
      <c r="I33" s="51"/>
      <c r="J33" s="51"/>
      <c r="K33" s="51"/>
    </row>
    <row r="34" spans="1:12">
      <c r="A34" s="1"/>
      <c r="B34" s="1">
        <v>476</v>
      </c>
      <c r="C34" s="1">
        <v>20.2</v>
      </c>
      <c r="D34" s="19">
        <f>(((B34)*(0.010548501))-0.04391105)*((760/$B$29)*((273.15+C34)/293.15))</f>
        <v>5.0469786913411596</v>
      </c>
      <c r="E34" s="19">
        <v>10.5</v>
      </c>
      <c r="F34" s="19">
        <f>0.980665*E34</f>
        <v>10.2969825</v>
      </c>
      <c r="I34" s="51"/>
      <c r="J34" s="51"/>
      <c r="K34" s="51"/>
    </row>
    <row r="35" spans="1:12">
      <c r="A35" s="1"/>
      <c r="B35" s="1"/>
      <c r="C35" s="1"/>
      <c r="D35" s="19"/>
      <c r="E35" s="19"/>
      <c r="F35" s="19"/>
      <c r="I35" s="51"/>
      <c r="J35" s="51"/>
      <c r="K35" s="51"/>
    </row>
    <row r="36" spans="1:12">
      <c r="I36" s="51"/>
      <c r="J36" s="51"/>
      <c r="K36" s="51"/>
    </row>
    <row r="37" spans="1:12">
      <c r="I37" s="51"/>
      <c r="J37" s="51"/>
      <c r="K37" s="51"/>
    </row>
    <row r="38" spans="1:12">
      <c r="I38" s="51"/>
      <c r="J38" s="51"/>
      <c r="K38" s="51"/>
    </row>
    <row r="39" spans="1:12">
      <c r="I39" s="51"/>
      <c r="J39" s="51"/>
      <c r="K39" s="51"/>
    </row>
    <row r="40" spans="1:12">
      <c r="E40" t="s">
        <v>105</v>
      </c>
      <c r="I40" s="51"/>
      <c r="J40" s="51"/>
      <c r="K40" s="51"/>
      <c r="L40" s="51"/>
    </row>
    <row r="41" spans="1:12">
      <c r="I41" s="51"/>
      <c r="J41" s="51"/>
      <c r="K41" s="51"/>
      <c r="L41" s="51"/>
    </row>
    <row r="42" spans="1:12">
      <c r="I42" s="51"/>
      <c r="J42" s="51"/>
      <c r="K42" s="51"/>
      <c r="L42" s="51"/>
    </row>
    <row r="43" spans="1:12">
      <c r="I43" s="51"/>
      <c r="J43" s="51"/>
      <c r="K43" s="51"/>
      <c r="L43" s="51"/>
    </row>
    <row r="44" spans="1:12">
      <c r="E44" t="s">
        <v>105</v>
      </c>
      <c r="I44" s="51"/>
      <c r="J44" s="51"/>
      <c r="K44" s="51"/>
      <c r="L44" s="51"/>
    </row>
  </sheetData>
  <phoneticPr fontId="2" type="noConversion"/>
  <pageMargins left="0.75" right="0.75" top="1" bottom="1" header="0.5" footer="0.5"/>
  <pageSetup scale="67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52"/>
  <sheetViews>
    <sheetView zoomScaleNormal="100" workbookViewId="0"/>
  </sheetViews>
  <sheetFormatPr defaultRowHeight="12.75"/>
  <cols>
    <col min="1" max="1" width="10.5703125" customWidth="1"/>
    <col min="2" max="2" width="11.7109375" customWidth="1"/>
  </cols>
  <sheetData>
    <row r="1" spans="1:7">
      <c r="A1" s="4" t="s">
        <v>124</v>
      </c>
      <c r="F1" s="17">
        <v>37911</v>
      </c>
      <c r="G1" t="s">
        <v>92</v>
      </c>
    </row>
    <row r="3" spans="1:7">
      <c r="A3" t="s">
        <v>125</v>
      </c>
    </row>
    <row r="5" spans="1:7" ht="14.25">
      <c r="A5" s="3" t="s">
        <v>5</v>
      </c>
      <c r="B5" s="3" t="s">
        <v>126</v>
      </c>
    </row>
    <row r="6" spans="1:7">
      <c r="A6" s="1">
        <v>1</v>
      </c>
      <c r="B6" s="16">
        <f>(4.6)*((A6/2.1)^-1.1)</f>
        <v>10.403969153340148</v>
      </c>
    </row>
    <row r="7" spans="1:7">
      <c r="A7" s="1">
        <v>2</v>
      </c>
      <c r="B7" s="16">
        <f t="shared" ref="B7:B15" si="0">(4.6)*((A7/2.1)^-1.1)</f>
        <v>4.853623231498811</v>
      </c>
    </row>
    <row r="8" spans="1:7">
      <c r="A8" s="1">
        <v>3</v>
      </c>
      <c r="B8" s="16">
        <f t="shared" si="0"/>
        <v>3.1071747262858125</v>
      </c>
    </row>
    <row r="9" spans="1:7">
      <c r="A9" s="1">
        <v>4</v>
      </c>
      <c r="B9" s="16">
        <f t="shared" si="0"/>
        <v>2.2642953017389416</v>
      </c>
    </row>
    <row r="10" spans="1:7">
      <c r="A10" s="1">
        <v>5</v>
      </c>
      <c r="B10" s="16">
        <f t="shared" si="0"/>
        <v>1.7714628585826466</v>
      </c>
    </row>
    <row r="11" spans="1:7">
      <c r="A11" s="1">
        <v>6</v>
      </c>
      <c r="B11" s="16">
        <f t="shared" si="0"/>
        <v>1.449548265047006</v>
      </c>
    </row>
    <row r="12" spans="1:7">
      <c r="A12" s="1">
        <v>7</v>
      </c>
      <c r="B12" s="16">
        <f t="shared" si="0"/>
        <v>1.2234640477799945</v>
      </c>
    </row>
    <row r="13" spans="1:7">
      <c r="A13" s="1">
        <v>8</v>
      </c>
      <c r="B13" s="16">
        <f t="shared" si="0"/>
        <v>1.0563311095521108</v>
      </c>
    </row>
    <row r="14" spans="1:7">
      <c r="A14" s="1">
        <v>9</v>
      </c>
      <c r="B14" s="16">
        <f t="shared" si="0"/>
        <v>0.92796649407305942</v>
      </c>
    </row>
    <row r="15" spans="1:7">
      <c r="A15" s="1">
        <v>10</v>
      </c>
      <c r="B15" s="16">
        <f t="shared" si="0"/>
        <v>0.82641664516985569</v>
      </c>
    </row>
    <row r="16" spans="1:7">
      <c r="A16" s="1"/>
      <c r="B16" s="16"/>
    </row>
    <row r="17" spans="1:6">
      <c r="A17" s="1"/>
      <c r="B17" s="16"/>
    </row>
    <row r="18" spans="1:6">
      <c r="A18" s="1"/>
      <c r="B18" s="16"/>
    </row>
    <row r="19" spans="1:6">
      <c r="A19" s="1"/>
      <c r="B19" s="16"/>
    </row>
    <row r="20" spans="1:6">
      <c r="A20" s="1"/>
      <c r="B20" s="16"/>
    </row>
    <row r="21" spans="1:6">
      <c r="A21" s="1"/>
      <c r="B21" s="16"/>
    </row>
    <row r="22" spans="1:6" ht="13.5" thickBot="1">
      <c r="A22" s="1"/>
      <c r="B22" s="16"/>
    </row>
    <row r="23" spans="1:6">
      <c r="B23" s="41" t="s">
        <v>127</v>
      </c>
      <c r="C23" s="11"/>
    </row>
    <row r="24" spans="1:6">
      <c r="B24" s="42" t="s">
        <v>128</v>
      </c>
      <c r="C24" s="43"/>
    </row>
    <row r="25" spans="1:6">
      <c r="B25" s="44" t="s">
        <v>129</v>
      </c>
      <c r="C25" s="45"/>
    </row>
    <row r="26" spans="1:6" ht="14.25">
      <c r="B26" s="27" t="s">
        <v>5</v>
      </c>
      <c r="C26" s="28" t="s">
        <v>130</v>
      </c>
    </row>
    <row r="27" spans="1:6" ht="13.5" thickBot="1">
      <c r="B27" s="22">
        <v>2.5</v>
      </c>
      <c r="C27" s="35">
        <f>(4.6)*((B27/2.1)^-1.1)</f>
        <v>3.7972137633951264</v>
      </c>
    </row>
    <row r="28" spans="1:6" ht="13.5" thickBot="1">
      <c r="A28" s="1"/>
      <c r="B28" s="1"/>
    </row>
    <row r="29" spans="1:6">
      <c r="A29" s="17">
        <v>39687</v>
      </c>
      <c r="B29" s="14" t="s">
        <v>91</v>
      </c>
      <c r="C29" t="s">
        <v>92</v>
      </c>
      <c r="E29" s="10" t="s">
        <v>55</v>
      </c>
      <c r="F29" s="11"/>
    </row>
    <row r="30" spans="1:6">
      <c r="A30" t="s">
        <v>32</v>
      </c>
      <c r="E30" s="20" t="s">
        <v>60</v>
      </c>
      <c r="F30" s="21"/>
    </row>
    <row r="31" spans="1:6">
      <c r="A31" t="s">
        <v>66</v>
      </c>
      <c r="E31" s="20" t="s">
        <v>62</v>
      </c>
      <c r="F31" s="21"/>
    </row>
    <row r="32" spans="1:6">
      <c r="A32" t="s">
        <v>67</v>
      </c>
      <c r="B32">
        <v>762.1</v>
      </c>
      <c r="C32" t="s">
        <v>68</v>
      </c>
      <c r="E32" s="37" t="s">
        <v>64</v>
      </c>
      <c r="F32" s="40" t="s">
        <v>95</v>
      </c>
    </row>
    <row r="33" spans="1:12" ht="13.5" thickBot="1">
      <c r="A33" t="s">
        <v>70</v>
      </c>
      <c r="B33">
        <v>22.5</v>
      </c>
      <c r="C33" t="s">
        <v>71</v>
      </c>
      <c r="E33" s="22">
        <v>2.2000000000000002</v>
      </c>
      <c r="F33" s="23">
        <f>0.079566598*(E33)^2.2162789</f>
        <v>0.45670414356766109</v>
      </c>
    </row>
    <row r="34" spans="1:12">
      <c r="L34" s="50"/>
    </row>
    <row r="35" spans="1:12">
      <c r="B35" s="3" t="s">
        <v>72</v>
      </c>
      <c r="C35" s="3"/>
      <c r="D35" s="3"/>
      <c r="E35" s="3"/>
      <c r="F35" s="3"/>
    </row>
    <row r="36" spans="1:12">
      <c r="A36" s="3" t="s">
        <v>73</v>
      </c>
      <c r="B36" s="3" t="s">
        <v>74</v>
      </c>
      <c r="C36" s="3" t="s">
        <v>75</v>
      </c>
      <c r="D36" s="3"/>
      <c r="E36" s="3" t="s">
        <v>65</v>
      </c>
      <c r="F36" s="3" t="s">
        <v>65</v>
      </c>
    </row>
    <row r="37" spans="1:12">
      <c r="A37" s="3" t="s">
        <v>76</v>
      </c>
      <c r="B37" s="3" t="s">
        <v>77</v>
      </c>
      <c r="C37" s="3" t="s">
        <v>77</v>
      </c>
      <c r="D37" s="3" t="s">
        <v>78</v>
      </c>
      <c r="E37" s="3" t="s">
        <v>79</v>
      </c>
      <c r="F37" s="3" t="s">
        <v>79</v>
      </c>
    </row>
    <row r="38" spans="1:12">
      <c r="A38" s="3" t="s">
        <v>80</v>
      </c>
      <c r="B38" s="3" t="s">
        <v>68</v>
      </c>
      <c r="C38" s="3" t="s">
        <v>71</v>
      </c>
      <c r="D38" s="3" t="s">
        <v>81</v>
      </c>
      <c r="E38" s="3" t="s">
        <v>82</v>
      </c>
      <c r="F38" s="3" t="s">
        <v>83</v>
      </c>
    </row>
    <row r="39" spans="1:12">
      <c r="B39" s="3"/>
      <c r="C39" s="3"/>
      <c r="D39" s="54"/>
      <c r="E39" s="3"/>
      <c r="F39" s="3"/>
      <c r="I39" s="51"/>
      <c r="K39" s="51"/>
    </row>
    <row r="40" spans="1:12">
      <c r="A40" s="1" t="s">
        <v>84</v>
      </c>
      <c r="B40" s="1">
        <v>118.9</v>
      </c>
      <c r="C40" s="1">
        <v>22.3</v>
      </c>
      <c r="D40" s="19">
        <f>(((B40)*(0.040242758))-0.151395046)*((760/$B$32)*((273.15+C40)/293.15))</f>
        <v>4.65695430923091</v>
      </c>
      <c r="E40" s="19">
        <v>2.5</v>
      </c>
      <c r="F40" s="19">
        <f>0.980665*E40</f>
        <v>2.4516624999999999</v>
      </c>
      <c r="I40" s="51"/>
      <c r="J40" s="51"/>
      <c r="K40" s="51"/>
    </row>
    <row r="41" spans="1:12">
      <c r="A41" s="1"/>
      <c r="B41" s="1">
        <v>175.3</v>
      </c>
      <c r="C41" s="1">
        <v>22.4</v>
      </c>
      <c r="D41" s="19">
        <f>(((B41)*(0.040242758))-0.151395046)*((760/$B$32)*((273.15+C41)/293.15))</f>
        <v>6.9404984641337162</v>
      </c>
      <c r="E41" s="19">
        <v>5.6</v>
      </c>
      <c r="F41" s="19">
        <f>0.980665*E41</f>
        <v>5.4917239999999996</v>
      </c>
      <c r="I41" s="51"/>
      <c r="J41" s="51"/>
      <c r="K41" s="51"/>
    </row>
    <row r="42" spans="1:12">
      <c r="A42" s="1"/>
      <c r="B42" s="1">
        <v>221.6</v>
      </c>
      <c r="C42" s="1">
        <v>22.5</v>
      </c>
      <c r="D42" s="19">
        <f>(((B42)*(0.040242758))-0.151395046)*((760/$B$32)*((273.15+C42)/293.15))</f>
        <v>8.8167982836871133</v>
      </c>
      <c r="E42" s="19">
        <v>10</v>
      </c>
      <c r="F42" s="19">
        <f>0.980665*E42</f>
        <v>9.8066499999999994</v>
      </c>
      <c r="I42" s="51"/>
      <c r="J42" s="51"/>
      <c r="K42" s="51"/>
    </row>
    <row r="43" spans="1:12">
      <c r="A43" s="1"/>
      <c r="B43" s="1"/>
      <c r="C43" s="1"/>
      <c r="D43" s="19"/>
      <c r="E43" s="19"/>
      <c r="F43" s="19"/>
      <c r="I43" s="51"/>
      <c r="J43" s="51"/>
      <c r="K43" s="51"/>
    </row>
    <row r="44" spans="1:12">
      <c r="A44" t="s">
        <v>67</v>
      </c>
      <c r="B44">
        <v>762.1</v>
      </c>
      <c r="C44" t="s">
        <v>68</v>
      </c>
      <c r="I44" s="51"/>
      <c r="J44" s="51"/>
      <c r="K44" s="51"/>
    </row>
    <row r="45" spans="1:12">
      <c r="A45" t="s">
        <v>70</v>
      </c>
      <c r="B45">
        <v>22.5</v>
      </c>
      <c r="C45" t="s">
        <v>71</v>
      </c>
      <c r="I45" s="51"/>
      <c r="J45" s="51"/>
      <c r="K45" s="51"/>
    </row>
    <row r="46" spans="1:12">
      <c r="A46" s="1" t="s">
        <v>85</v>
      </c>
      <c r="B46" s="1">
        <v>85.9</v>
      </c>
      <c r="C46" s="1">
        <v>22.2</v>
      </c>
      <c r="D46" s="19">
        <f>(((B46)*(0.010548501))-0.04391105)*((760/$B$44)*((273.15+C46)/293.15))</f>
        <v>0.86628209469959216</v>
      </c>
      <c r="E46" s="19">
        <v>0.06</v>
      </c>
      <c r="F46" s="19">
        <f>0.980665*E46</f>
        <v>5.8839900000000001E-2</v>
      </c>
      <c r="I46" s="51"/>
      <c r="J46" s="51"/>
      <c r="K46" s="51"/>
    </row>
    <row r="47" spans="1:12">
      <c r="A47" s="1"/>
      <c r="B47" s="1">
        <v>146.19999999999999</v>
      </c>
      <c r="C47" s="1">
        <v>22.2</v>
      </c>
      <c r="D47" s="19">
        <f>(((B47)*(0.010548501))-0.04391105)*((760/$B$44)*((273.15+C47)/293.15))</f>
        <v>1.5053643628266813</v>
      </c>
      <c r="E47" s="19">
        <v>0.245</v>
      </c>
      <c r="F47" s="19">
        <f>0.980665*E47</f>
        <v>0.24026292499999999</v>
      </c>
      <c r="I47" s="51"/>
      <c r="J47" s="51"/>
      <c r="K47" s="51"/>
    </row>
    <row r="48" spans="1:12">
      <c r="B48" s="1">
        <v>203.6</v>
      </c>
      <c r="C48" s="1">
        <v>22.3</v>
      </c>
      <c r="D48" s="19">
        <f>(((B48)*(0.010548501))-0.04391105)*((760/$B$44)*((273.15+C48)/293.15))</f>
        <v>2.1144269943836176</v>
      </c>
      <c r="E48" s="19">
        <v>0.495</v>
      </c>
      <c r="F48" s="19">
        <f>0.980665*E48</f>
        <v>0.48542917499999999</v>
      </c>
      <c r="I48" s="51"/>
      <c r="J48" s="51"/>
      <c r="K48" s="51"/>
    </row>
    <row r="49" spans="1:12">
      <c r="A49" s="1"/>
      <c r="B49" s="1">
        <v>299.85000000000002</v>
      </c>
      <c r="C49" s="1">
        <v>22.5</v>
      </c>
      <c r="D49" s="19">
        <f>(((B49)*(0.010548501))-0.04391105)*((760/$B$44)*((273.15+C49)/293.15))</f>
        <v>3.1369884770042051</v>
      </c>
      <c r="E49" s="19">
        <v>1.1100000000000001</v>
      </c>
      <c r="F49" s="19">
        <f>0.980665*E49</f>
        <v>1.0885381500000002</v>
      </c>
      <c r="I49" s="51"/>
      <c r="J49" s="51"/>
      <c r="K49" s="51"/>
    </row>
    <row r="50" spans="1:12">
      <c r="A50" s="1"/>
      <c r="B50" s="1"/>
      <c r="C50" s="1"/>
      <c r="D50" s="19"/>
      <c r="E50" s="19"/>
      <c r="F50" s="19"/>
      <c r="I50" s="51"/>
      <c r="J50" s="51"/>
      <c r="K50" s="51"/>
      <c r="L50" s="51"/>
    </row>
    <row r="51" spans="1:12">
      <c r="A51" s="1"/>
      <c r="B51" s="1"/>
      <c r="C51" s="1"/>
      <c r="I51" s="51"/>
      <c r="J51" s="51"/>
      <c r="K51" s="51"/>
      <c r="L51" s="51"/>
    </row>
    <row r="52" spans="1:12">
      <c r="C52" s="1"/>
      <c r="I52" s="51"/>
      <c r="J52" s="51"/>
      <c r="K52" s="51"/>
      <c r="L52" s="51"/>
    </row>
  </sheetData>
  <phoneticPr fontId="2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6"/>
  <sheetViews>
    <sheetView workbookViewId="0">
      <selection activeCell="O17" sqref="O17"/>
    </sheetView>
  </sheetViews>
  <sheetFormatPr defaultRowHeight="12.75"/>
  <sheetData>
    <row r="1" spans="1:2">
      <c r="A1" t="s">
        <v>40</v>
      </c>
    </row>
    <row r="2" spans="1:2">
      <c r="A2">
        <v>2</v>
      </c>
      <c r="B2">
        <v>12.494999999999999</v>
      </c>
    </row>
    <row r="3" spans="1:2">
      <c r="A3">
        <v>3</v>
      </c>
      <c r="B3">
        <v>7.8040000000000003</v>
      </c>
    </row>
    <row r="4" spans="1:2">
      <c r="A4">
        <v>4</v>
      </c>
      <c r="B4">
        <v>5.5880000000000001</v>
      </c>
    </row>
    <row r="5" spans="1:2">
      <c r="A5">
        <v>5</v>
      </c>
      <c r="B5">
        <v>4.3120000000000003</v>
      </c>
    </row>
    <row r="6" spans="1:2">
      <c r="A6">
        <v>6</v>
      </c>
      <c r="B6" s="50">
        <v>3.49</v>
      </c>
    </row>
    <row r="7" spans="1:2">
      <c r="A7">
        <v>7</v>
      </c>
      <c r="B7">
        <v>2.9180000000000001</v>
      </c>
    </row>
    <row r="8" spans="1:2">
      <c r="A8">
        <v>8</v>
      </c>
      <c r="B8">
        <v>2.4990000000000001</v>
      </c>
    </row>
    <row r="9" spans="1:2">
      <c r="A9">
        <v>9</v>
      </c>
      <c r="B9">
        <v>2.1789999999999998</v>
      </c>
    </row>
    <row r="10" spans="1:2">
      <c r="A10">
        <v>10</v>
      </c>
      <c r="B10">
        <v>1.929</v>
      </c>
    </row>
    <row r="11" spans="1:2">
      <c r="A11">
        <v>11</v>
      </c>
      <c r="B11">
        <v>1.7270000000000001</v>
      </c>
    </row>
    <row r="12" spans="1:2">
      <c r="A12">
        <v>12</v>
      </c>
      <c r="B12">
        <v>1.5609999999999999</v>
      </c>
    </row>
    <row r="13" spans="1:2">
      <c r="A13">
        <v>13</v>
      </c>
      <c r="B13">
        <v>1.4219999999999999</v>
      </c>
    </row>
    <row r="14" spans="1:2">
      <c r="A14">
        <v>14</v>
      </c>
      <c r="B14">
        <v>1.3049999999999999</v>
      </c>
    </row>
    <row r="15" spans="1:2">
      <c r="A15">
        <v>15</v>
      </c>
      <c r="B15">
        <v>1.204</v>
      </c>
    </row>
    <row r="16" spans="1:2">
      <c r="A16">
        <v>16</v>
      </c>
      <c r="B16">
        <v>1.117</v>
      </c>
    </row>
    <row r="17" spans="1:6">
      <c r="A17">
        <v>17</v>
      </c>
      <c r="B17">
        <v>1.042</v>
      </c>
    </row>
    <row r="18" spans="1:6">
      <c r="A18">
        <v>18</v>
      </c>
      <c r="B18">
        <v>0.97499999999999998</v>
      </c>
    </row>
    <row r="20" spans="1:6" ht="13.5" thickBot="1"/>
    <row r="21" spans="1:6">
      <c r="A21" s="10" t="s">
        <v>55</v>
      </c>
      <c r="B21" s="11"/>
    </row>
    <row r="22" spans="1:6">
      <c r="A22" s="63" t="s">
        <v>56</v>
      </c>
      <c r="B22" s="64" t="s">
        <v>57</v>
      </c>
    </row>
    <row r="23" spans="1:6">
      <c r="A23" s="63">
        <v>8</v>
      </c>
      <c r="B23" s="65">
        <f>27.94*(A23)^-1.161</f>
        <v>2.4988427480900115</v>
      </c>
    </row>
    <row r="24" spans="1:6">
      <c r="A24" s="63" t="s">
        <v>58</v>
      </c>
      <c r="B24" s="66"/>
    </row>
    <row r="25" spans="1:6" ht="13.5" thickBot="1">
      <c r="A25" s="67" t="s">
        <v>59</v>
      </c>
      <c r="B25" s="68"/>
    </row>
    <row r="26" spans="1:6">
      <c r="B26" s="51"/>
    </row>
    <row r="27" spans="1:6" ht="13.5" thickBot="1"/>
    <row r="28" spans="1:6">
      <c r="E28" s="10" t="s">
        <v>55</v>
      </c>
      <c r="F28" s="11"/>
    </row>
    <row r="29" spans="1:6">
      <c r="A29" t="s">
        <v>40</v>
      </c>
      <c r="E29" s="20" t="s">
        <v>60</v>
      </c>
      <c r="F29" s="21"/>
    </row>
    <row r="30" spans="1:6">
      <c r="A30" t="s">
        <v>61</v>
      </c>
      <c r="E30" s="20" t="s">
        <v>62</v>
      </c>
      <c r="F30" s="21"/>
    </row>
    <row r="31" spans="1:6">
      <c r="A31" t="s">
        <v>63</v>
      </c>
      <c r="E31" s="61" t="s">
        <v>64</v>
      </c>
      <c r="F31" s="62" t="s">
        <v>65</v>
      </c>
    </row>
    <row r="32" spans="1:6" ht="13.5" thickBot="1">
      <c r="A32" t="s">
        <v>66</v>
      </c>
      <c r="E32" s="12">
        <v>10</v>
      </c>
      <c r="F32" s="49">
        <f>0.015180466*(E32)^2.2860006</f>
        <v>2.9328219867957777</v>
      </c>
    </row>
    <row r="33" spans="1:14">
      <c r="A33" t="s">
        <v>67</v>
      </c>
      <c r="B33">
        <v>744.6</v>
      </c>
      <c r="C33" t="s">
        <v>68</v>
      </c>
      <c r="E33" t="s">
        <v>69</v>
      </c>
    </row>
    <row r="34" spans="1:14">
      <c r="A34" t="s">
        <v>70</v>
      </c>
      <c r="B34">
        <v>19.3</v>
      </c>
      <c r="C34" t="s">
        <v>71</v>
      </c>
    </row>
    <row r="35" spans="1:14">
      <c r="L35" s="50"/>
    </row>
    <row r="36" spans="1:14">
      <c r="B36" s="3" t="s">
        <v>72</v>
      </c>
      <c r="C36" s="3"/>
      <c r="D36" s="3"/>
      <c r="E36" s="3"/>
      <c r="F36" s="3"/>
    </row>
    <row r="37" spans="1:14">
      <c r="A37" s="3" t="s">
        <v>73</v>
      </c>
      <c r="B37" s="3" t="s">
        <v>74</v>
      </c>
      <c r="C37" s="3" t="s">
        <v>75</v>
      </c>
      <c r="D37" s="3"/>
      <c r="E37" s="3" t="s">
        <v>65</v>
      </c>
      <c r="F37" s="3" t="s">
        <v>65</v>
      </c>
    </row>
    <row r="38" spans="1:14">
      <c r="A38" s="3" t="s">
        <v>76</v>
      </c>
      <c r="B38" s="3" t="s">
        <v>77</v>
      </c>
      <c r="C38" s="3" t="s">
        <v>77</v>
      </c>
      <c r="D38" s="3" t="s">
        <v>78</v>
      </c>
      <c r="E38" s="3" t="s">
        <v>79</v>
      </c>
      <c r="F38" s="3" t="s">
        <v>79</v>
      </c>
    </row>
    <row r="39" spans="1:14">
      <c r="A39" s="3" t="s">
        <v>80</v>
      </c>
      <c r="B39" s="3" t="s">
        <v>68</v>
      </c>
      <c r="C39" s="3" t="s">
        <v>71</v>
      </c>
      <c r="D39" s="3" t="s">
        <v>81</v>
      </c>
      <c r="E39" s="3" t="s">
        <v>82</v>
      </c>
      <c r="F39" s="3" t="s">
        <v>83</v>
      </c>
    </row>
    <row r="40" spans="1:14">
      <c r="B40" s="3"/>
      <c r="C40" s="3"/>
      <c r="D40" s="54"/>
      <c r="E40" s="3"/>
      <c r="F40" s="3"/>
      <c r="I40" s="51"/>
      <c r="K40" s="51"/>
    </row>
    <row r="41" spans="1:14">
      <c r="A41" s="1" t="s">
        <v>84</v>
      </c>
      <c r="B41" s="1">
        <v>121.3</v>
      </c>
      <c r="C41" s="1">
        <v>19.2</v>
      </c>
      <c r="D41" s="19">
        <f t="shared" ref="D41:D49" si="0">(((B41)*(0.040242758))-0.151395046)*((760/$B$8)*((273.15+C41)/293.15))</f>
        <v>1434.5853947182668</v>
      </c>
      <c r="E41" s="19">
        <v>0.61</v>
      </c>
      <c r="F41" s="19">
        <f>0.980665*E41</f>
        <v>0.59820565000000003</v>
      </c>
      <c r="I41" s="51"/>
      <c r="J41" s="51"/>
      <c r="K41" s="51"/>
    </row>
    <row r="42" spans="1:14">
      <c r="A42" s="1"/>
      <c r="B42" s="1">
        <v>170.4</v>
      </c>
      <c r="C42" s="1">
        <v>19.3</v>
      </c>
      <c r="D42" s="19">
        <f t="shared" si="0"/>
        <v>2034.5610637210111</v>
      </c>
      <c r="E42" s="19">
        <v>1.28</v>
      </c>
      <c r="F42" s="19">
        <f>0.980665*E42</f>
        <v>1.2552512</v>
      </c>
      <c r="I42" s="51"/>
      <c r="J42" s="51"/>
      <c r="K42" s="51"/>
      <c r="N42" s="3"/>
    </row>
    <row r="43" spans="1:14">
      <c r="A43" s="1"/>
      <c r="B43" s="1">
        <v>222.6</v>
      </c>
      <c r="C43" s="1">
        <v>19.3</v>
      </c>
      <c r="D43" s="19">
        <f t="shared" si="0"/>
        <v>2671.8953805112938</v>
      </c>
      <c r="E43" s="19">
        <v>2.3450000000000002</v>
      </c>
      <c r="F43" s="19">
        <f>0.980665*E43</f>
        <v>2.2996594250000002</v>
      </c>
      <c r="I43" s="51"/>
      <c r="J43" s="51"/>
      <c r="K43" s="51"/>
      <c r="N43" s="3"/>
    </row>
    <row r="44" spans="1:14">
      <c r="A44" s="1"/>
      <c r="B44" s="1">
        <v>272.2</v>
      </c>
      <c r="C44" s="1">
        <v>19.3</v>
      </c>
      <c r="D44" s="19">
        <f t="shared" si="0"/>
        <v>3277.485076158765</v>
      </c>
      <c r="E44" s="19">
        <v>3.7</v>
      </c>
      <c r="F44" s="19">
        <f t="shared" ref="F44:F49" si="1">0.980665*E44</f>
        <v>3.6284605000000001</v>
      </c>
      <c r="I44" s="51"/>
      <c r="J44" s="51"/>
      <c r="K44" s="51"/>
      <c r="N44" s="3"/>
    </row>
    <row r="45" spans="1:14">
      <c r="B45" s="1">
        <v>320.89999999999998</v>
      </c>
      <c r="C45" s="1">
        <v>19.3</v>
      </c>
      <c r="D45" s="19">
        <f t="shared" si="0"/>
        <v>3872.0862491029552</v>
      </c>
      <c r="E45" s="19">
        <v>5.2</v>
      </c>
      <c r="F45" s="19">
        <f t="shared" si="1"/>
        <v>5.0994580000000003</v>
      </c>
      <c r="I45" s="51"/>
      <c r="J45" s="51"/>
      <c r="K45" s="51"/>
    </row>
    <row r="46" spans="1:14">
      <c r="B46" s="1">
        <v>358.3</v>
      </c>
      <c r="C46" s="1">
        <v>19.3</v>
      </c>
      <c r="D46" s="19">
        <f t="shared" si="0"/>
        <v>4328.7204147726216</v>
      </c>
      <c r="E46" s="19">
        <v>6.85</v>
      </c>
      <c r="F46" s="19">
        <f t="shared" si="1"/>
        <v>6.7175552499999993</v>
      </c>
      <c r="I46" s="51"/>
      <c r="J46" s="51"/>
      <c r="K46" s="51"/>
    </row>
    <row r="47" spans="1:14">
      <c r="B47" s="1">
        <v>413.2</v>
      </c>
      <c r="C47" s="1">
        <v>19.3</v>
      </c>
      <c r="D47" s="19">
        <f t="shared" si="0"/>
        <v>4999.0202996727467</v>
      </c>
      <c r="E47" s="19">
        <v>9.6</v>
      </c>
      <c r="F47" s="19">
        <f t="shared" si="1"/>
        <v>9.4143840000000001</v>
      </c>
      <c r="I47" s="51"/>
      <c r="J47" s="51"/>
      <c r="K47" s="51"/>
    </row>
    <row r="48" spans="1:14">
      <c r="B48" s="1">
        <v>459.3</v>
      </c>
      <c r="C48" s="1">
        <v>19.3</v>
      </c>
      <c r="D48" s="19">
        <f t="shared" si="0"/>
        <v>5561.8768514741259</v>
      </c>
      <c r="E48" s="19">
        <v>12.2</v>
      </c>
      <c r="F48" s="19">
        <f t="shared" si="1"/>
        <v>11.964112999999999</v>
      </c>
      <c r="I48" s="51"/>
      <c r="J48" s="51"/>
      <c r="K48" s="51"/>
    </row>
    <row r="49" spans="1:12">
      <c r="B49" s="1">
        <v>498.7</v>
      </c>
      <c r="C49" s="1">
        <v>19.3</v>
      </c>
      <c r="D49" s="19">
        <f t="shared" si="0"/>
        <v>6042.929956484415</v>
      </c>
      <c r="E49" s="19">
        <v>14.8</v>
      </c>
      <c r="F49" s="19">
        <f t="shared" si="1"/>
        <v>14.513842</v>
      </c>
      <c r="I49" s="51"/>
      <c r="J49" s="51"/>
      <c r="K49" s="51"/>
    </row>
    <row r="50" spans="1:12">
      <c r="I50" s="51"/>
      <c r="J50" s="51"/>
      <c r="K50" s="51"/>
    </row>
    <row r="51" spans="1:12">
      <c r="A51" t="s">
        <v>67</v>
      </c>
      <c r="B51">
        <v>743.4</v>
      </c>
      <c r="C51" t="s">
        <v>68</v>
      </c>
      <c r="I51" s="51"/>
      <c r="J51" s="51"/>
      <c r="K51" s="51"/>
    </row>
    <row r="52" spans="1:12">
      <c r="A52" t="s">
        <v>70</v>
      </c>
      <c r="B52">
        <v>19.3</v>
      </c>
      <c r="C52" t="s">
        <v>71</v>
      </c>
      <c r="I52" s="51"/>
      <c r="J52" s="51"/>
      <c r="K52" s="51"/>
    </row>
    <row r="53" spans="1:12">
      <c r="A53" s="1" t="s">
        <v>85</v>
      </c>
      <c r="B53" s="1">
        <v>201.9</v>
      </c>
      <c r="C53" s="1">
        <v>19.600000000000001</v>
      </c>
      <c r="D53" s="19" t="e">
        <f>(((B53)*(0.010548501))-0.04391105)*((760/$B$26)*((273.15+C53)/293.15))</f>
        <v>#DIV/0!</v>
      </c>
      <c r="E53" s="19">
        <v>0.12</v>
      </c>
      <c r="F53" s="19">
        <f>0.980665*E53</f>
        <v>0.1176798</v>
      </c>
      <c r="I53" s="51"/>
      <c r="J53" s="51"/>
      <c r="K53" s="51"/>
      <c r="L53" s="51"/>
    </row>
    <row r="54" spans="1:12">
      <c r="A54" s="1"/>
      <c r="B54" s="1">
        <v>280</v>
      </c>
      <c r="C54" s="1">
        <v>19.600000000000001</v>
      </c>
      <c r="D54" s="19" t="e">
        <f>(((B54)*(0.010548501))-0.04391105)*((760/$B$26)*((273.15+C54)/293.15))</f>
        <v>#DIV/0!</v>
      </c>
      <c r="E54" s="19">
        <v>0.215</v>
      </c>
      <c r="F54" s="19">
        <f>0.980665*E54</f>
        <v>0.21084297499999999</v>
      </c>
      <c r="I54" s="51"/>
      <c r="J54" s="51"/>
      <c r="K54" s="51"/>
      <c r="L54" s="51"/>
    </row>
    <row r="55" spans="1:12">
      <c r="B55" s="1">
        <v>373.7</v>
      </c>
      <c r="C55" s="1">
        <v>19.600000000000001</v>
      </c>
      <c r="D55" s="19" t="e">
        <f>(((B55)*(0.010548501))-0.04391105)*((760/$B$26)*((273.15+C55)/293.15))</f>
        <v>#DIV/0!</v>
      </c>
      <c r="E55" s="19">
        <v>0.38500000000000001</v>
      </c>
      <c r="F55" s="19">
        <f>0.980665*E55</f>
        <v>0.37755602500000002</v>
      </c>
      <c r="I55" s="51"/>
      <c r="J55" s="51"/>
      <c r="K55" s="51"/>
      <c r="L55" s="51"/>
    </row>
    <row r="56" spans="1:12">
      <c r="A56" s="1"/>
      <c r="I56" s="51"/>
      <c r="J56" s="51"/>
      <c r="K56" s="51"/>
      <c r="L56" s="5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1"/>
  <sheetViews>
    <sheetView zoomScaleNormal="100" workbookViewId="0">
      <selection activeCell="S17" sqref="S17"/>
    </sheetView>
  </sheetViews>
  <sheetFormatPr defaultRowHeight="12.75"/>
  <cols>
    <col min="1" max="1" width="12.140625" customWidth="1"/>
    <col min="2" max="2" width="14.7109375" customWidth="1"/>
    <col min="3" max="3" width="9.28515625" bestFit="1" customWidth="1"/>
    <col min="4" max="4" width="9.42578125" bestFit="1" customWidth="1"/>
    <col min="5" max="5" width="11" customWidth="1"/>
    <col min="6" max="6" width="9.28515625" bestFit="1" customWidth="1"/>
    <col min="10" max="11" width="9.28515625" bestFit="1" customWidth="1"/>
  </cols>
  <sheetData>
    <row r="1" spans="1:11">
      <c r="A1" s="1" t="s">
        <v>81</v>
      </c>
      <c r="B1" s="1" t="s">
        <v>86</v>
      </c>
      <c r="J1" t="s">
        <v>87</v>
      </c>
    </row>
    <row r="2" spans="1:11">
      <c r="A2" s="1">
        <v>2</v>
      </c>
      <c r="B2" s="1">
        <v>19.768000000000001</v>
      </c>
      <c r="J2">
        <v>18</v>
      </c>
      <c r="K2">
        <v>2.36</v>
      </c>
    </row>
    <row r="3" spans="1:11">
      <c r="A3" s="1">
        <v>4</v>
      </c>
      <c r="B3" s="1">
        <v>10.057</v>
      </c>
      <c r="J3">
        <v>15</v>
      </c>
      <c r="K3">
        <v>2.758</v>
      </c>
    </row>
    <row r="4" spans="1:11">
      <c r="A4" s="1">
        <v>6</v>
      </c>
      <c r="B4" s="1">
        <v>6.7729999999999997</v>
      </c>
      <c r="J4">
        <v>11.4</v>
      </c>
      <c r="K4">
        <v>3.57</v>
      </c>
    </row>
    <row r="5" spans="1:11">
      <c r="A5" s="1">
        <v>8</v>
      </c>
      <c r="B5" s="1">
        <v>5.1159999999999997</v>
      </c>
      <c r="J5">
        <v>15.7</v>
      </c>
      <c r="K5">
        <v>2.66</v>
      </c>
    </row>
    <row r="6" spans="1:11">
      <c r="A6" s="1">
        <v>10</v>
      </c>
      <c r="B6" s="1">
        <v>4.1159999999999997</v>
      </c>
      <c r="J6">
        <v>18.7</v>
      </c>
      <c r="K6">
        <v>2.2949999999999999</v>
      </c>
    </row>
    <row r="7" spans="1:11">
      <c r="A7" s="1">
        <v>12</v>
      </c>
      <c r="B7" s="1">
        <v>3.4460000000000002</v>
      </c>
    </row>
    <row r="8" spans="1:11">
      <c r="A8" s="1">
        <v>14</v>
      </c>
      <c r="B8" s="1">
        <v>2.9649999999999999</v>
      </c>
    </row>
    <row r="9" spans="1:11">
      <c r="A9" s="1">
        <v>16</v>
      </c>
      <c r="B9" s="1">
        <v>2.6030000000000002</v>
      </c>
    </row>
    <row r="10" spans="1:11">
      <c r="A10" s="1">
        <v>18</v>
      </c>
      <c r="B10" s="1">
        <v>2.3199999999999998</v>
      </c>
    </row>
    <row r="11" spans="1:11">
      <c r="A11" s="1">
        <v>20</v>
      </c>
      <c r="B11" s="1">
        <v>2.0939999999999999</v>
      </c>
    </row>
    <row r="13" spans="1:11">
      <c r="A13" s="14" t="s">
        <v>88</v>
      </c>
      <c r="B13" s="15">
        <f>(38.858)*(B14)^-0.975</f>
        <v>2.5008821921238078</v>
      </c>
    </row>
    <row r="14" spans="1:11">
      <c r="A14" s="14" t="s">
        <v>89</v>
      </c>
      <c r="B14" s="6">
        <v>16.670000000000002</v>
      </c>
    </row>
    <row r="18" spans="1:12" ht="13.5" thickBot="1"/>
    <row r="19" spans="1:12">
      <c r="A19" s="10" t="s">
        <v>55</v>
      </c>
      <c r="B19" s="11"/>
    </row>
    <row r="20" spans="1:12">
      <c r="A20" s="33" t="s">
        <v>58</v>
      </c>
      <c r="B20" s="21"/>
    </row>
    <row r="21" spans="1:12">
      <c r="A21" s="32" t="s">
        <v>90</v>
      </c>
      <c r="B21" s="21"/>
    </row>
    <row r="22" spans="1:12">
      <c r="A22" s="27" t="s">
        <v>64</v>
      </c>
      <c r="B22" s="28" t="s">
        <v>86</v>
      </c>
    </row>
    <row r="23" spans="1:12" ht="13.5" thickBot="1">
      <c r="A23" s="12">
        <v>47</v>
      </c>
      <c r="B23" s="13">
        <f>31.48*(A23)^-0.8963</f>
        <v>0.99846630544987736</v>
      </c>
    </row>
    <row r="25" spans="1:12" ht="13.5" thickBot="1"/>
    <row r="26" spans="1:12">
      <c r="A26" s="17">
        <v>39660</v>
      </c>
      <c r="B26" s="14" t="s">
        <v>91</v>
      </c>
      <c r="C26" t="s">
        <v>92</v>
      </c>
      <c r="E26" s="10" t="s">
        <v>55</v>
      </c>
      <c r="F26" s="11"/>
    </row>
    <row r="27" spans="1:12">
      <c r="A27" t="s">
        <v>93</v>
      </c>
      <c r="B27" t="s">
        <v>94</v>
      </c>
      <c r="E27" s="20" t="s">
        <v>60</v>
      </c>
      <c r="F27" s="21"/>
    </row>
    <row r="28" spans="1:12">
      <c r="A28" t="s">
        <v>66</v>
      </c>
      <c r="E28" s="20" t="s">
        <v>62</v>
      </c>
      <c r="F28" s="21"/>
    </row>
    <row r="29" spans="1:12">
      <c r="A29" t="s">
        <v>67</v>
      </c>
      <c r="B29">
        <v>751.3</v>
      </c>
      <c r="C29" t="s">
        <v>68</v>
      </c>
      <c r="E29" s="37" t="s">
        <v>64</v>
      </c>
      <c r="F29" s="40" t="s">
        <v>95</v>
      </c>
    </row>
    <row r="30" spans="1:12" ht="13.5" thickBot="1">
      <c r="A30" t="s">
        <v>70</v>
      </c>
      <c r="B30">
        <v>22.5</v>
      </c>
      <c r="C30" t="s">
        <v>71</v>
      </c>
      <c r="E30" s="22">
        <v>47</v>
      </c>
      <c r="F30" s="23">
        <f>0.0053042664*(E30)^2.147352</f>
        <v>20.663696157088218</v>
      </c>
    </row>
    <row r="31" spans="1:12">
      <c r="L31" s="50"/>
    </row>
    <row r="32" spans="1:12">
      <c r="B32" s="3" t="s">
        <v>72</v>
      </c>
      <c r="C32" s="3"/>
      <c r="D32" s="3"/>
      <c r="E32" s="3"/>
      <c r="F32" s="3"/>
    </row>
    <row r="33" spans="1:12">
      <c r="A33" s="3" t="s">
        <v>73</v>
      </c>
      <c r="B33" s="3" t="s">
        <v>74</v>
      </c>
      <c r="C33" s="3" t="s">
        <v>75</v>
      </c>
      <c r="D33" s="3"/>
      <c r="E33" s="3" t="s">
        <v>65</v>
      </c>
      <c r="F33" s="3" t="s">
        <v>65</v>
      </c>
    </row>
    <row r="34" spans="1:12">
      <c r="A34" s="3" t="s">
        <v>76</v>
      </c>
      <c r="B34" s="3" t="s">
        <v>77</v>
      </c>
      <c r="C34" s="3" t="s">
        <v>77</v>
      </c>
      <c r="D34" s="3" t="s">
        <v>78</v>
      </c>
      <c r="E34" s="3" t="s">
        <v>79</v>
      </c>
      <c r="F34" s="3" t="s">
        <v>79</v>
      </c>
    </row>
    <row r="35" spans="1:12">
      <c r="A35" s="3" t="s">
        <v>80</v>
      </c>
      <c r="B35" s="3" t="s">
        <v>68</v>
      </c>
      <c r="C35" s="3" t="s">
        <v>71</v>
      </c>
      <c r="D35" s="3" t="s">
        <v>81</v>
      </c>
      <c r="E35" s="3" t="s">
        <v>82</v>
      </c>
      <c r="F35" s="3" t="s">
        <v>83</v>
      </c>
    </row>
    <row r="36" spans="1:12">
      <c r="A36" s="1" t="s">
        <v>96</v>
      </c>
      <c r="B36" s="1">
        <v>128</v>
      </c>
      <c r="C36" s="1">
        <v>22.2</v>
      </c>
      <c r="D36" s="19">
        <f>(((B36)*(0.03942404))-0.19533397)*((760/$B$29)*((273.15+C36)/293.15))</f>
        <v>4.9439431149309927</v>
      </c>
      <c r="E36" s="19">
        <v>0.19500000000000001</v>
      </c>
      <c r="F36" s="19">
        <f>0.980665*E36</f>
        <v>0.19122967500000002</v>
      </c>
      <c r="I36" s="51"/>
      <c r="K36" s="51"/>
    </row>
    <row r="37" spans="1:12">
      <c r="A37" s="1"/>
      <c r="B37" s="1">
        <v>174.95</v>
      </c>
      <c r="C37" s="1">
        <v>22.3</v>
      </c>
      <c r="D37" s="19">
        <f t="shared" ref="D37:D50" si="0">(((B37)*(0.03942404))-0.19533397)*((760/$B$29)*((273.15+C37)/293.15))</f>
        <v>6.8327001303387567</v>
      </c>
      <c r="E37" s="1">
        <v>0.35</v>
      </c>
      <c r="F37" s="19">
        <f t="shared" ref="F37:F50" si="1">0.980665*E37</f>
        <v>0.34323274999999998</v>
      </c>
      <c r="I37" s="51"/>
      <c r="J37" s="51"/>
      <c r="K37" s="51"/>
    </row>
    <row r="38" spans="1:12">
      <c r="A38" s="1"/>
      <c r="B38" s="1">
        <v>229</v>
      </c>
      <c r="C38" s="1">
        <v>22.3</v>
      </c>
      <c r="D38" s="19">
        <f t="shared" si="0"/>
        <v>9.0051568062398388</v>
      </c>
      <c r="E38" s="1">
        <v>0.625</v>
      </c>
      <c r="F38" s="19">
        <f t="shared" si="1"/>
        <v>0.61291562499999996</v>
      </c>
      <c r="I38" s="51"/>
      <c r="J38" s="51"/>
      <c r="K38" s="51"/>
    </row>
    <row r="39" spans="1:12">
      <c r="A39" s="1"/>
      <c r="B39" s="1">
        <v>279.45</v>
      </c>
      <c r="C39" s="1">
        <v>22.2</v>
      </c>
      <c r="D39" s="19">
        <f t="shared" si="0"/>
        <v>11.029182739773784</v>
      </c>
      <c r="E39" s="1">
        <v>0.92500000000000004</v>
      </c>
      <c r="F39" s="19">
        <f t="shared" si="1"/>
        <v>0.90711512500000002</v>
      </c>
      <c r="I39" s="51"/>
      <c r="J39" s="51"/>
      <c r="K39" s="51"/>
    </row>
    <row r="40" spans="1:12">
      <c r="A40" s="1"/>
      <c r="B40" s="1">
        <v>319.8</v>
      </c>
      <c r="C40" s="1">
        <v>22.3</v>
      </c>
      <c r="D40" s="19">
        <f t="shared" si="0"/>
        <v>12.654723247901602</v>
      </c>
      <c r="E40" s="1">
        <v>1.2250000000000001</v>
      </c>
      <c r="F40" s="19">
        <f t="shared" si="1"/>
        <v>1.2013146250000002</v>
      </c>
      <c r="I40" s="51"/>
      <c r="J40" s="51"/>
      <c r="K40" s="51"/>
    </row>
    <row r="41" spans="1:12">
      <c r="A41" s="1"/>
      <c r="B41" s="1">
        <v>376.2</v>
      </c>
      <c r="C41" s="1">
        <v>22.2</v>
      </c>
      <c r="D41" s="19">
        <f t="shared" si="0"/>
        <v>14.91658408479551</v>
      </c>
      <c r="E41" s="19">
        <v>1.75</v>
      </c>
      <c r="F41" s="19">
        <f t="shared" si="1"/>
        <v>1.71616375</v>
      </c>
      <c r="I41" s="51"/>
      <c r="J41" s="51"/>
      <c r="K41" s="51"/>
    </row>
    <row r="42" spans="1:12">
      <c r="A42" s="1"/>
      <c r="B42" s="1">
        <v>419.5</v>
      </c>
      <c r="C42" s="1">
        <v>22.4</v>
      </c>
      <c r="D42" s="19">
        <f t="shared" si="0"/>
        <v>16.667651047198806</v>
      </c>
      <c r="E42" s="1">
        <v>2.1949999999999998</v>
      </c>
      <c r="F42" s="19">
        <f t="shared" si="1"/>
        <v>2.152559675</v>
      </c>
      <c r="I42" s="51"/>
      <c r="J42" s="51"/>
      <c r="K42" s="51"/>
    </row>
    <row r="43" spans="1:12">
      <c r="A43" s="1"/>
      <c r="B43" s="1">
        <v>457.2</v>
      </c>
      <c r="C43" s="1">
        <v>22.4</v>
      </c>
      <c r="D43" s="19">
        <f t="shared" si="0"/>
        <v>18.183457479301147</v>
      </c>
      <c r="E43" s="1">
        <v>2.6850000000000001</v>
      </c>
      <c r="F43" s="19">
        <f t="shared" si="1"/>
        <v>2.6330855250000003</v>
      </c>
      <c r="I43" s="51"/>
      <c r="J43" s="51"/>
      <c r="K43" s="51"/>
    </row>
    <row r="44" spans="1:12">
      <c r="A44" s="1"/>
      <c r="B44" s="1">
        <v>501.3</v>
      </c>
      <c r="C44" s="18">
        <v>22</v>
      </c>
      <c r="D44" s="19">
        <f t="shared" si="0"/>
        <v>19.929579715925666</v>
      </c>
      <c r="E44" s="19">
        <v>3.27</v>
      </c>
      <c r="F44" s="19">
        <f t="shared" si="1"/>
        <v>3.20677455</v>
      </c>
      <c r="I44" s="51"/>
      <c r="J44" s="51"/>
      <c r="K44" s="51"/>
    </row>
    <row r="45" spans="1:12">
      <c r="A45" s="1"/>
      <c r="B45" s="1">
        <v>549.20000000000005</v>
      </c>
      <c r="C45" s="1">
        <v>22.1</v>
      </c>
      <c r="D45" s="19">
        <f t="shared" si="0"/>
        <v>21.860295672994354</v>
      </c>
      <c r="E45" s="19">
        <v>4.0250000000000004</v>
      </c>
      <c r="F45" s="19">
        <f t="shared" si="1"/>
        <v>3.9471766250000004</v>
      </c>
      <c r="I45" s="51"/>
      <c r="J45" s="51"/>
      <c r="K45" s="51"/>
    </row>
    <row r="46" spans="1:12">
      <c r="A46" s="1"/>
      <c r="B46" s="1">
        <v>621.15</v>
      </c>
      <c r="C46" s="1">
        <v>22.2</v>
      </c>
      <c r="D46" s="19">
        <f t="shared" si="0"/>
        <v>24.75864051335439</v>
      </c>
      <c r="E46" s="19">
        <v>5.2</v>
      </c>
      <c r="F46" s="19">
        <f t="shared" si="1"/>
        <v>5.0994580000000003</v>
      </c>
      <c r="I46" s="51"/>
      <c r="J46" s="51"/>
      <c r="K46" s="51"/>
    </row>
    <row r="47" spans="1:12">
      <c r="A47" s="1"/>
      <c r="B47" s="1">
        <v>708.8</v>
      </c>
      <c r="C47" s="1">
        <v>22.2</v>
      </c>
      <c r="D47" s="19">
        <f t="shared" si="0"/>
        <v>28.280405142720323</v>
      </c>
      <c r="E47" s="19">
        <v>6.95</v>
      </c>
      <c r="F47" s="19">
        <f t="shared" si="1"/>
        <v>6.81562175</v>
      </c>
      <c r="I47" s="51"/>
      <c r="J47" s="51"/>
      <c r="K47" s="51"/>
      <c r="L47" s="51"/>
    </row>
    <row r="48" spans="1:12">
      <c r="A48" s="1" t="s">
        <v>97</v>
      </c>
      <c r="B48" s="1">
        <v>203.6</v>
      </c>
      <c r="C48" s="1">
        <v>21.8</v>
      </c>
      <c r="D48" s="19">
        <f t="shared" si="0"/>
        <v>7.9707308422248921</v>
      </c>
      <c r="E48" s="19">
        <v>3.5000000000000003E-2</v>
      </c>
      <c r="F48" s="19">
        <f t="shared" si="1"/>
        <v>3.4323275E-2</v>
      </c>
      <c r="I48" s="51"/>
      <c r="J48" s="51"/>
      <c r="K48" s="51"/>
      <c r="L48" s="51"/>
    </row>
    <row r="49" spans="1:12">
      <c r="A49" s="1"/>
      <c r="B49" s="1">
        <v>296.5</v>
      </c>
      <c r="C49" s="1">
        <v>21.8</v>
      </c>
      <c r="D49" s="19">
        <f t="shared" si="0"/>
        <v>11.698384428251728</v>
      </c>
      <c r="E49" s="19">
        <v>0.09</v>
      </c>
      <c r="F49" s="19">
        <f t="shared" si="1"/>
        <v>8.8259850000000001E-2</v>
      </c>
      <c r="I49" s="51"/>
      <c r="J49" s="51"/>
      <c r="K49" s="51"/>
      <c r="L49" s="51"/>
    </row>
    <row r="50" spans="1:12">
      <c r="A50" s="1"/>
      <c r="B50" s="1">
        <v>359.4</v>
      </c>
      <c r="C50" s="1">
        <v>21.8</v>
      </c>
      <c r="D50" s="19">
        <f t="shared" si="0"/>
        <v>14.222274746455041</v>
      </c>
      <c r="E50" s="19">
        <v>0.115</v>
      </c>
      <c r="F50" s="19">
        <f t="shared" si="1"/>
        <v>0.112776475</v>
      </c>
      <c r="I50" s="51"/>
      <c r="J50" s="51"/>
      <c r="K50" s="51"/>
      <c r="L50" s="51"/>
    </row>
    <row r="51" spans="1:12">
      <c r="I51" s="51"/>
      <c r="J51" s="51"/>
      <c r="K51" s="51"/>
      <c r="L51" s="51"/>
    </row>
  </sheetData>
  <phoneticPr fontId="0" type="noConversion"/>
  <pageMargins left="0.75" right="0.75" top="1" bottom="1" header="0.5" footer="0.5"/>
  <pageSetup scale="6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52"/>
  <sheetViews>
    <sheetView zoomScaleNormal="100" workbookViewId="0"/>
  </sheetViews>
  <sheetFormatPr defaultRowHeight="12.75"/>
  <cols>
    <col min="1" max="1" width="10.5703125" customWidth="1"/>
    <col min="2" max="3" width="9.28515625" bestFit="1" customWidth="1"/>
    <col min="4" max="4" width="9.7109375" bestFit="1" customWidth="1"/>
    <col min="5" max="5" width="10.42578125" customWidth="1"/>
    <col min="6" max="6" width="9.28515625" bestFit="1" customWidth="1"/>
  </cols>
  <sheetData>
    <row r="2" spans="1:2">
      <c r="A2" t="s">
        <v>98</v>
      </c>
    </row>
    <row r="3" spans="1:2">
      <c r="A3" s="1" t="s">
        <v>57</v>
      </c>
      <c r="B3" s="1" t="s">
        <v>99</v>
      </c>
    </row>
    <row r="4" spans="1:2">
      <c r="A4" s="1" t="s">
        <v>100</v>
      </c>
      <c r="B4" s="1" t="s">
        <v>101</v>
      </c>
    </row>
    <row r="5" spans="1:2">
      <c r="A5" s="1">
        <v>1.5</v>
      </c>
      <c r="B5" s="19">
        <v>1.25</v>
      </c>
    </row>
    <row r="6" spans="1:2">
      <c r="A6" s="1">
        <v>1.6</v>
      </c>
      <c r="B6" s="19">
        <v>1.1599999999999999</v>
      </c>
    </row>
    <row r="7" spans="1:2">
      <c r="A7" s="1">
        <v>1.7</v>
      </c>
      <c r="B7" s="1">
        <v>1.081</v>
      </c>
    </row>
    <row r="8" spans="1:2">
      <c r="A8" s="1">
        <v>1.8</v>
      </c>
      <c r="B8" s="1">
        <v>1.0109999999999999</v>
      </c>
    </row>
    <row r="9" spans="1:2">
      <c r="A9" s="1">
        <v>1.9</v>
      </c>
      <c r="B9" s="19">
        <v>0.95</v>
      </c>
    </row>
    <row r="10" spans="1:2">
      <c r="A10" s="18">
        <v>2</v>
      </c>
      <c r="B10" s="1">
        <v>0.89500000000000002</v>
      </c>
    </row>
    <row r="11" spans="1:2">
      <c r="A11" s="1">
        <v>2.1</v>
      </c>
      <c r="B11" s="1">
        <v>0.84599999999999997</v>
      </c>
    </row>
    <row r="12" spans="1:2">
      <c r="A12" s="1">
        <v>2.2000000000000002</v>
      </c>
      <c r="B12" s="3">
        <v>0.80100000000000005</v>
      </c>
    </row>
    <row r="13" spans="1:2">
      <c r="A13" s="1">
        <v>2.2999999999999998</v>
      </c>
      <c r="B13" s="1">
        <v>0.76100000000000001</v>
      </c>
    </row>
    <row r="14" spans="1:2">
      <c r="A14" s="1">
        <v>2.4</v>
      </c>
      <c r="B14" s="1">
        <v>0.72399999999999998</v>
      </c>
    </row>
    <row r="15" spans="1:2">
      <c r="A15" s="1">
        <v>2.5</v>
      </c>
      <c r="B15" s="1">
        <v>0.69099999999999995</v>
      </c>
    </row>
    <row r="21" spans="1:8" ht="13.5" thickBot="1"/>
    <row r="22" spans="1:8">
      <c r="A22" s="10" t="s">
        <v>55</v>
      </c>
      <c r="B22" s="11"/>
    </row>
    <row r="23" spans="1:8">
      <c r="A23" s="20" t="s">
        <v>102</v>
      </c>
      <c r="B23" s="21"/>
    </row>
    <row r="24" spans="1:8">
      <c r="A24" s="20" t="s">
        <v>103</v>
      </c>
      <c r="B24" s="21"/>
    </row>
    <row r="25" spans="1:8">
      <c r="A25" s="27" t="s">
        <v>64</v>
      </c>
      <c r="B25" s="28" t="s">
        <v>86</v>
      </c>
    </row>
    <row r="26" spans="1:8" ht="13.5" thickBot="1">
      <c r="A26" s="22">
        <v>0.82</v>
      </c>
      <c r="B26" s="55">
        <f>(2.0016)*((A26)^-1.1611)</f>
        <v>2.5202755623470465</v>
      </c>
    </row>
    <row r="28" spans="1:8">
      <c r="A28" s="52"/>
      <c r="B28" s="53"/>
    </row>
    <row r="29" spans="1:8" ht="13.5" thickBot="1">
      <c r="A29" s="17">
        <v>40273</v>
      </c>
      <c r="B29" s="14" t="s">
        <v>91</v>
      </c>
      <c r="C29" t="s">
        <v>92</v>
      </c>
    </row>
    <row r="30" spans="1:8">
      <c r="A30" t="s">
        <v>42</v>
      </c>
      <c r="E30" s="10" t="s">
        <v>55</v>
      </c>
      <c r="F30" s="11"/>
    </row>
    <row r="31" spans="1:8">
      <c r="A31" t="s">
        <v>104</v>
      </c>
      <c r="E31" s="20" t="s">
        <v>60</v>
      </c>
      <c r="F31" s="21"/>
    </row>
    <row r="32" spans="1:8">
      <c r="A32" t="s">
        <v>67</v>
      </c>
      <c r="B32">
        <v>758.17</v>
      </c>
      <c r="C32" t="s">
        <v>68</v>
      </c>
      <c r="E32" s="20" t="s">
        <v>62</v>
      </c>
      <c r="F32" s="21"/>
      <c r="H32" s="1"/>
    </row>
    <row r="33" spans="1:12">
      <c r="A33" t="s">
        <v>70</v>
      </c>
      <c r="B33">
        <v>22.2</v>
      </c>
      <c r="C33" t="s">
        <v>71</v>
      </c>
      <c r="E33" s="37" t="s">
        <v>64</v>
      </c>
      <c r="F33" s="40" t="s">
        <v>95</v>
      </c>
      <c r="H33" s="1"/>
    </row>
    <row r="34" spans="1:12" ht="13.5" thickBot="1">
      <c r="E34" s="22">
        <v>2.2000000000000002</v>
      </c>
      <c r="F34" s="23">
        <f>1.653*(E34)^2.363</f>
        <v>10.651668657948242</v>
      </c>
      <c r="H34" s="1"/>
      <c r="L34" s="50"/>
    </row>
    <row r="35" spans="1:12">
      <c r="B35" s="3" t="s">
        <v>72</v>
      </c>
      <c r="C35" s="3"/>
      <c r="D35" s="3"/>
      <c r="E35" s="3"/>
      <c r="F35" s="3"/>
    </row>
    <row r="36" spans="1:12">
      <c r="A36" s="3" t="s">
        <v>73</v>
      </c>
      <c r="B36" s="3" t="s">
        <v>74</v>
      </c>
      <c r="C36" s="3" t="s">
        <v>75</v>
      </c>
      <c r="D36" s="3"/>
      <c r="E36" s="3" t="s">
        <v>65</v>
      </c>
      <c r="F36" s="3" t="s">
        <v>65</v>
      </c>
    </row>
    <row r="37" spans="1:12">
      <c r="A37" s="3" t="s">
        <v>76</v>
      </c>
      <c r="B37" s="3" t="s">
        <v>77</v>
      </c>
      <c r="C37" s="3" t="s">
        <v>77</v>
      </c>
      <c r="D37" s="3" t="s">
        <v>78</v>
      </c>
      <c r="E37" s="3" t="s">
        <v>79</v>
      </c>
      <c r="F37" s="3" t="s">
        <v>79</v>
      </c>
    </row>
    <row r="38" spans="1:12">
      <c r="A38" s="3" t="s">
        <v>80</v>
      </c>
      <c r="B38" s="3" t="s">
        <v>68</v>
      </c>
      <c r="C38" s="3" t="s">
        <v>71</v>
      </c>
      <c r="D38" s="3" t="s">
        <v>81</v>
      </c>
      <c r="E38" s="3" t="s">
        <v>82</v>
      </c>
      <c r="F38" s="3" t="s">
        <v>83</v>
      </c>
    </row>
    <row r="39" spans="1:12">
      <c r="B39" s="3"/>
      <c r="C39" s="3"/>
      <c r="D39" s="54"/>
      <c r="E39" s="3"/>
      <c r="F39" s="3"/>
      <c r="I39" s="51"/>
      <c r="K39" s="51"/>
    </row>
    <row r="40" spans="1:12">
      <c r="A40" t="s">
        <v>67</v>
      </c>
      <c r="B40">
        <v>762.1</v>
      </c>
      <c r="C40" t="s">
        <v>68</v>
      </c>
      <c r="I40" s="51"/>
      <c r="J40" s="51"/>
      <c r="K40" s="51"/>
    </row>
    <row r="41" spans="1:12">
      <c r="A41" t="s">
        <v>70</v>
      </c>
      <c r="B41">
        <v>22.5</v>
      </c>
      <c r="C41" t="s">
        <v>71</v>
      </c>
      <c r="I41" s="51"/>
      <c r="J41" s="51"/>
      <c r="K41" s="51"/>
    </row>
    <row r="42" spans="1:12">
      <c r="A42" s="1" t="s">
        <v>85</v>
      </c>
      <c r="B42" s="1">
        <v>152.4</v>
      </c>
      <c r="C42" s="1">
        <v>22.2</v>
      </c>
      <c r="D42" s="19">
        <f>(((B42)*(0.010548501))-0.04391105)*((760/$B$13)*((273.15+C42)/293.15))</f>
        <v>1573.3452493867012</v>
      </c>
      <c r="E42" s="19">
        <v>4.8</v>
      </c>
      <c r="F42" s="19">
        <f>0.980665*E42</f>
        <v>4.707192</v>
      </c>
      <c r="I42" s="51"/>
      <c r="J42" s="51"/>
      <c r="K42" s="51"/>
    </row>
    <row r="43" spans="1:12">
      <c r="A43" s="1"/>
      <c r="B43" s="1">
        <v>170.1</v>
      </c>
      <c r="C43" s="1">
        <v>22.2</v>
      </c>
      <c r="D43" s="19">
        <f>(((B43)*(0.010548501))-0.04391105)*((760/$B$13)*((273.15+C43)/293.15))</f>
        <v>1761.207718877876</v>
      </c>
      <c r="E43" s="19">
        <v>6.3</v>
      </c>
      <c r="F43" s="19">
        <f>0.980665*E43</f>
        <v>6.1781895000000002</v>
      </c>
      <c r="I43" s="51"/>
      <c r="J43" s="51"/>
      <c r="K43" s="51"/>
    </row>
    <row r="44" spans="1:12">
      <c r="B44" s="1">
        <v>189.91</v>
      </c>
      <c r="C44" s="1">
        <v>22.2</v>
      </c>
      <c r="D44" s="19">
        <f>(((B44)*(0.010548501))-0.04391105)*((760/$B$13)*((273.15+C44)/293.15))</f>
        <v>1971.4650929242141</v>
      </c>
      <c r="E44" s="19">
        <v>8.1999999999999993</v>
      </c>
      <c r="F44" s="19">
        <f>0.980665*E44</f>
        <v>8.0414529999999989</v>
      </c>
      <c r="I44" s="51"/>
      <c r="J44" s="51"/>
      <c r="K44" s="51"/>
    </row>
    <row r="45" spans="1:12">
      <c r="A45" s="1"/>
      <c r="B45" s="1">
        <v>209.43</v>
      </c>
      <c r="C45" s="1">
        <v>22.3</v>
      </c>
      <c r="D45" s="19">
        <f>(((B45)*(0.010548501))-0.04391105)*((760/$B$13)*((273.15+C45)/293.15))</f>
        <v>2179.3821426879185</v>
      </c>
      <c r="E45" s="19">
        <v>10.3</v>
      </c>
      <c r="F45" s="19">
        <f>0.980665*E45</f>
        <v>10.100849500000001</v>
      </c>
      <c r="I45" s="51"/>
      <c r="J45" s="51"/>
      <c r="K45" s="51"/>
    </row>
    <row r="46" spans="1:12">
      <c r="B46" s="1">
        <v>230.22</v>
      </c>
      <c r="C46" s="1">
        <v>22.3</v>
      </c>
      <c r="D46" s="19">
        <f>(((B46)*(0.010548501))-0.04391105)*((760/$B$13)*((273.15+C46)/293.15))</f>
        <v>2400.1156525514771</v>
      </c>
      <c r="E46" s="19">
        <v>13.1</v>
      </c>
      <c r="F46" s="19">
        <f>0.980665*E46</f>
        <v>12.8467115</v>
      </c>
      <c r="I46" s="51"/>
      <c r="J46" s="51"/>
      <c r="K46" s="51"/>
    </row>
    <row r="47" spans="1:12">
      <c r="I47" s="51"/>
      <c r="J47" s="51"/>
      <c r="K47" s="51"/>
    </row>
    <row r="48" spans="1:12">
      <c r="I48" s="51"/>
      <c r="J48" s="51"/>
      <c r="K48" s="51"/>
    </row>
    <row r="49" spans="4:12">
      <c r="I49" s="51"/>
      <c r="J49" s="51"/>
      <c r="K49" s="51"/>
    </row>
    <row r="50" spans="4:12">
      <c r="D50" s="19"/>
      <c r="E50" s="19"/>
      <c r="F50" s="19"/>
      <c r="G50" t="s">
        <v>105</v>
      </c>
      <c r="I50" s="51"/>
      <c r="J50" s="51"/>
      <c r="K50" s="51"/>
      <c r="L50" s="51"/>
    </row>
    <row r="51" spans="4:12">
      <c r="I51" s="51"/>
      <c r="J51" s="51"/>
      <c r="K51" s="51"/>
      <c r="L51" s="51"/>
    </row>
    <row r="52" spans="4:12">
      <c r="I52" s="51"/>
      <c r="J52" s="51"/>
      <c r="K52" s="51"/>
      <c r="L52" s="51"/>
    </row>
  </sheetData>
  <phoneticPr fontId="2" type="noConversion"/>
  <pageMargins left="0.75" right="0.75" top="1" bottom="1" header="0.5" footer="0.5"/>
  <pageSetup scale="7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6"/>
  <sheetViews>
    <sheetView zoomScaleNormal="100" workbookViewId="0"/>
  </sheetViews>
  <sheetFormatPr defaultRowHeight="12.75"/>
  <cols>
    <col min="1" max="1" width="11.140625" bestFit="1" customWidth="1"/>
    <col min="2" max="4" width="9.28515625" bestFit="1" customWidth="1"/>
    <col min="5" max="5" width="10" customWidth="1"/>
    <col min="6" max="6" width="9.28515625" bestFit="1" customWidth="1"/>
  </cols>
  <sheetData>
    <row r="1" spans="1:4">
      <c r="A1" s="25"/>
      <c r="B1" s="25"/>
      <c r="C1" s="25"/>
      <c r="D1" s="25"/>
    </row>
    <row r="2" spans="1:4">
      <c r="A2" s="4" t="s">
        <v>106</v>
      </c>
      <c r="B2" s="4"/>
      <c r="C2" s="4"/>
      <c r="D2" s="25"/>
    </row>
    <row r="4" spans="1:4">
      <c r="A4" s="26" t="s">
        <v>57</v>
      </c>
      <c r="B4" s="26" t="s">
        <v>86</v>
      </c>
    </row>
    <row r="5" spans="1:4">
      <c r="B5" s="1" t="s">
        <v>107</v>
      </c>
    </row>
    <row r="6" spans="1:4">
      <c r="A6" s="26">
        <v>4</v>
      </c>
      <c r="B6" s="26">
        <v>0.86</v>
      </c>
      <c r="C6" s="26"/>
      <c r="D6" s="25"/>
    </row>
    <row r="7" spans="1:4">
      <c r="A7" s="26">
        <v>1.8</v>
      </c>
      <c r="B7" s="26">
        <v>1.97</v>
      </c>
      <c r="C7" s="26"/>
      <c r="D7" s="25"/>
    </row>
    <row r="8" spans="1:4">
      <c r="A8" s="26">
        <v>4</v>
      </c>
      <c r="B8" s="26">
        <v>0.85</v>
      </c>
      <c r="C8" s="26"/>
      <c r="D8" s="25"/>
    </row>
    <row r="9" spans="1:4">
      <c r="A9" s="26">
        <v>1.2</v>
      </c>
      <c r="B9" s="26">
        <v>3.1</v>
      </c>
      <c r="C9" s="26" t="s">
        <v>108</v>
      </c>
      <c r="D9" s="25"/>
    </row>
    <row r="10" spans="1:4">
      <c r="A10" s="26">
        <v>1.8</v>
      </c>
      <c r="B10" s="26">
        <v>2.1</v>
      </c>
      <c r="D10" s="25"/>
    </row>
    <row r="11" spans="1:4">
      <c r="A11" s="26">
        <v>1.2</v>
      </c>
      <c r="B11" s="26">
        <v>3.2</v>
      </c>
      <c r="D11" s="25"/>
    </row>
    <row r="12" spans="1:4">
      <c r="A12" s="26">
        <v>1.5</v>
      </c>
      <c r="B12" s="26">
        <v>2.4500000000000002</v>
      </c>
      <c r="D12" s="25"/>
    </row>
    <row r="13" spans="1:4">
      <c r="A13" s="26">
        <v>1.6</v>
      </c>
      <c r="B13" s="26">
        <v>2.4500000000000002</v>
      </c>
      <c r="D13" s="25"/>
    </row>
    <row r="14" spans="1:4">
      <c r="A14" s="26">
        <v>1</v>
      </c>
      <c r="B14" s="26">
        <v>4.2</v>
      </c>
      <c r="D14" s="25"/>
    </row>
    <row r="15" spans="1:4">
      <c r="A15" s="26">
        <v>1.1000000000000001</v>
      </c>
      <c r="B15" s="26">
        <v>3.75</v>
      </c>
      <c r="D15" s="25"/>
    </row>
    <row r="16" spans="1:4">
      <c r="A16" s="26">
        <v>3</v>
      </c>
      <c r="B16" s="26">
        <v>1.1399999999999999</v>
      </c>
      <c r="C16" s="26" t="s">
        <v>109</v>
      </c>
    </row>
    <row r="17" spans="1:12">
      <c r="A17" s="26">
        <v>4</v>
      </c>
      <c r="B17" s="26">
        <v>0.86</v>
      </c>
      <c r="C17" s="26"/>
    </row>
    <row r="18" spans="1:12">
      <c r="A18" s="26">
        <v>3.5</v>
      </c>
      <c r="B18" s="26">
        <v>1.01</v>
      </c>
      <c r="C18" s="26"/>
    </row>
    <row r="20" spans="1:12" ht="13.5" thickBot="1"/>
    <row r="21" spans="1:12">
      <c r="A21" s="10" t="s">
        <v>55</v>
      </c>
      <c r="B21" s="11"/>
    </row>
    <row r="22" spans="1:12">
      <c r="A22" s="33" t="s">
        <v>58</v>
      </c>
      <c r="B22" s="21"/>
    </row>
    <row r="23" spans="1:12">
      <c r="A23" s="32" t="s">
        <v>90</v>
      </c>
      <c r="B23" s="21"/>
    </row>
    <row r="24" spans="1:12">
      <c r="A24" s="27" t="s">
        <v>64</v>
      </c>
      <c r="B24" s="28" t="s">
        <v>86</v>
      </c>
    </row>
    <row r="25" spans="1:12" ht="13.5" thickBot="1">
      <c r="A25" s="12">
        <v>8</v>
      </c>
      <c r="B25" s="13">
        <f>(3.9974)*(A25)^-1.1166</f>
        <v>0.39209141076028103</v>
      </c>
    </row>
    <row r="26" spans="1:12" ht="13.5" thickBot="1"/>
    <row r="27" spans="1:12">
      <c r="A27" s="17">
        <v>39687</v>
      </c>
      <c r="B27" s="14" t="s">
        <v>91</v>
      </c>
      <c r="C27" t="s">
        <v>92</v>
      </c>
      <c r="E27" s="10" t="s">
        <v>55</v>
      </c>
      <c r="F27" s="11"/>
    </row>
    <row r="28" spans="1:12">
      <c r="A28" t="s">
        <v>110</v>
      </c>
      <c r="E28" s="20" t="s">
        <v>60</v>
      </c>
      <c r="F28" s="21"/>
    </row>
    <row r="29" spans="1:12">
      <c r="A29" t="s">
        <v>66</v>
      </c>
      <c r="E29" s="20" t="s">
        <v>62</v>
      </c>
      <c r="F29" s="21"/>
    </row>
    <row r="30" spans="1:12">
      <c r="A30" t="s">
        <v>67</v>
      </c>
      <c r="B30">
        <v>762.1</v>
      </c>
      <c r="C30" t="s">
        <v>68</v>
      </c>
      <c r="E30" s="37" t="s">
        <v>64</v>
      </c>
      <c r="F30" s="40" t="s">
        <v>95</v>
      </c>
    </row>
    <row r="31" spans="1:12" ht="13.5" thickBot="1">
      <c r="A31" t="s">
        <v>70</v>
      </c>
      <c r="B31">
        <v>22.5</v>
      </c>
      <c r="C31" t="s">
        <v>71</v>
      </c>
      <c r="E31" s="22">
        <v>3.5</v>
      </c>
      <c r="F31" s="35">
        <f>0.36935462*(E31)^2.473472</f>
        <v>8.1880523279256057</v>
      </c>
    </row>
    <row r="32" spans="1:12">
      <c r="L32" s="50"/>
    </row>
    <row r="33" spans="1:11">
      <c r="B33" s="3" t="s">
        <v>72</v>
      </c>
      <c r="C33" s="3"/>
      <c r="D33" s="3"/>
      <c r="E33" s="3"/>
      <c r="F33" s="3"/>
    </row>
    <row r="34" spans="1:11">
      <c r="A34" s="3" t="s">
        <v>73</v>
      </c>
      <c r="B34" s="3" t="s">
        <v>74</v>
      </c>
      <c r="C34" s="3" t="s">
        <v>75</v>
      </c>
      <c r="D34" s="3"/>
      <c r="E34" s="3" t="s">
        <v>65</v>
      </c>
      <c r="F34" s="3" t="s">
        <v>65</v>
      </c>
    </row>
    <row r="35" spans="1:11">
      <c r="A35" s="3" t="s">
        <v>76</v>
      </c>
      <c r="B35" s="3" t="s">
        <v>77</v>
      </c>
      <c r="C35" s="3" t="s">
        <v>77</v>
      </c>
      <c r="D35" s="3" t="s">
        <v>78</v>
      </c>
      <c r="E35" s="3" t="s">
        <v>79</v>
      </c>
      <c r="F35" s="3" t="s">
        <v>79</v>
      </c>
    </row>
    <row r="36" spans="1:11">
      <c r="A36" s="3" t="s">
        <v>80</v>
      </c>
      <c r="B36" s="3" t="s">
        <v>68</v>
      </c>
      <c r="C36" s="3" t="s">
        <v>71</v>
      </c>
      <c r="D36" s="3" t="s">
        <v>81</v>
      </c>
      <c r="E36" s="3" t="s">
        <v>82</v>
      </c>
      <c r="F36" s="3" t="s">
        <v>83</v>
      </c>
    </row>
    <row r="37" spans="1:11">
      <c r="A37" s="1" t="s">
        <v>85</v>
      </c>
      <c r="B37" s="1">
        <v>84.45</v>
      </c>
      <c r="C37" s="1">
        <v>22.3</v>
      </c>
      <c r="D37" s="19">
        <f>(((B37)*(0.010548501))-0.04391105)*((760/$B$30)*((273.15+C37)/293.15))</f>
        <v>0.85120254855916544</v>
      </c>
      <c r="E37" s="19">
        <v>0.28999999999999998</v>
      </c>
      <c r="F37" s="19">
        <f>0.980665*E37</f>
        <v>0.28439284999999997</v>
      </c>
      <c r="I37" s="51"/>
      <c r="K37" s="51"/>
    </row>
    <row r="38" spans="1:11">
      <c r="A38" s="1"/>
      <c r="B38" s="1">
        <v>150.80000000000001</v>
      </c>
      <c r="C38" s="1">
        <v>22.2</v>
      </c>
      <c r="D38" s="19">
        <f>(((B38)*(0.010548501))-0.04391105)*((760/$B$30)*((273.15+C38)/293.15))</f>
        <v>1.5541169073272556</v>
      </c>
      <c r="E38" s="19">
        <v>1.01</v>
      </c>
      <c r="F38" s="19">
        <f>0.980665*E38</f>
        <v>0.99047165000000004</v>
      </c>
      <c r="I38" s="51"/>
      <c r="J38" s="51"/>
      <c r="K38" s="51"/>
    </row>
    <row r="39" spans="1:11">
      <c r="B39" s="1">
        <v>205.9</v>
      </c>
      <c r="C39" s="1">
        <v>22.2</v>
      </c>
      <c r="D39" s="19">
        <f>(((B39)*(0.010548501))-0.04391105)*((760/$B$30)*((273.15+C39)/293.15))</f>
        <v>2.1380876034102179</v>
      </c>
      <c r="E39" s="19">
        <v>2.04</v>
      </c>
      <c r="F39" s="19">
        <f>0.980665*E39</f>
        <v>2.0005565999999999</v>
      </c>
      <c r="I39" s="51"/>
      <c r="J39" s="51"/>
      <c r="K39" s="51"/>
    </row>
    <row r="40" spans="1:11">
      <c r="A40" s="1"/>
      <c r="B40" s="1">
        <v>300.10000000000002</v>
      </c>
      <c r="C40" s="1">
        <v>22.3</v>
      </c>
      <c r="D40" s="19">
        <f>(((B40)*(0.010548501))-0.04391105)*((760/$B$30)*((273.15+C40)/293.15))</f>
        <v>3.1375168728734186</v>
      </c>
      <c r="E40" s="19">
        <v>4.8</v>
      </c>
      <c r="F40" s="19">
        <f>0.980665*E40</f>
        <v>4.707192</v>
      </c>
      <c r="I40" s="51"/>
      <c r="J40" s="51"/>
      <c r="K40" s="51"/>
    </row>
    <row r="41" spans="1:11">
      <c r="A41" s="1"/>
      <c r="B41" s="1">
        <v>388.55</v>
      </c>
      <c r="C41" s="1">
        <v>22.4</v>
      </c>
      <c r="D41" s="19">
        <f>(((B41)*(0.010548501))-0.04391105)*((760/$B$30)*((273.15+C41)/293.15))</f>
        <v>4.0766402520570733</v>
      </c>
      <c r="E41" s="19">
        <v>8.6999999999999993</v>
      </c>
      <c r="F41" s="19">
        <f>0.980665*E41</f>
        <v>8.5317854999999998</v>
      </c>
      <c r="I41" s="51"/>
      <c r="J41" s="51"/>
      <c r="K41" s="51"/>
    </row>
    <row r="42" spans="1:11">
      <c r="A42" s="1"/>
      <c r="B42" s="1"/>
      <c r="C42" s="1"/>
      <c r="D42" s="19"/>
      <c r="E42" s="19"/>
      <c r="F42" s="19"/>
      <c r="I42" s="51"/>
      <c r="J42" s="51"/>
      <c r="K42" s="51"/>
    </row>
    <row r="43" spans="1:11">
      <c r="I43" s="51"/>
      <c r="J43" s="51"/>
      <c r="K43" s="51"/>
    </row>
    <row r="44" spans="1:11">
      <c r="I44" s="51"/>
      <c r="J44" s="51"/>
      <c r="K44" s="51"/>
    </row>
    <row r="45" spans="1:11">
      <c r="I45" s="51"/>
      <c r="J45" s="51"/>
      <c r="K45" s="51"/>
    </row>
    <row r="46" spans="1:11">
      <c r="I46" s="51"/>
      <c r="J46" s="51"/>
      <c r="K46" s="51"/>
    </row>
  </sheetData>
  <phoneticPr fontId="2" type="noConversion"/>
  <pageMargins left="0.75" right="0.75" top="1" bottom="1" header="0.5" footer="0.5"/>
  <pageSetup scale="6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5"/>
  <sheetViews>
    <sheetView zoomScaleNormal="100" workbookViewId="0">
      <selection activeCell="E54" sqref="E54"/>
    </sheetView>
  </sheetViews>
  <sheetFormatPr defaultRowHeight="12.75"/>
  <cols>
    <col min="1" max="1" width="10.5703125" bestFit="1" customWidth="1"/>
    <col min="2" max="2" width="12.5703125" customWidth="1"/>
    <col min="3" max="3" width="10.140625" customWidth="1"/>
    <col min="4" max="4" width="9.28515625" bestFit="1" customWidth="1"/>
    <col min="5" max="5" width="10.28515625" bestFit="1" customWidth="1"/>
    <col min="6" max="6" width="9.28515625" bestFit="1" customWidth="1"/>
  </cols>
  <sheetData>
    <row r="1" spans="1:5">
      <c r="A1" s="1" t="s">
        <v>57</v>
      </c>
      <c r="B1" s="1" t="s">
        <v>86</v>
      </c>
      <c r="C1" t="s">
        <v>15</v>
      </c>
      <c r="D1" t="s">
        <v>92</v>
      </c>
      <c r="E1" s="17">
        <v>39503</v>
      </c>
    </row>
    <row r="2" spans="1:5">
      <c r="A2" s="18">
        <v>2</v>
      </c>
      <c r="B2" s="1">
        <v>7.2430000000000003</v>
      </c>
    </row>
    <row r="3" spans="1:5">
      <c r="A3" s="18">
        <v>2.5</v>
      </c>
      <c r="B3" s="19">
        <v>5.59</v>
      </c>
    </row>
    <row r="4" spans="1:5">
      <c r="A4" s="18">
        <v>3</v>
      </c>
      <c r="B4" s="1">
        <v>4.5229999999999997</v>
      </c>
    </row>
    <row r="5" spans="1:5">
      <c r="A5" s="18">
        <v>3.5</v>
      </c>
      <c r="B5" s="1">
        <v>3.782</v>
      </c>
    </row>
    <row r="6" spans="1:5">
      <c r="A6" s="18">
        <v>4</v>
      </c>
      <c r="B6" s="1">
        <v>3.2389999999999999</v>
      </c>
    </row>
    <row r="7" spans="1:5">
      <c r="A7" s="18">
        <v>4.5</v>
      </c>
      <c r="B7" s="1">
        <v>2.8250000000000002</v>
      </c>
    </row>
    <row r="8" spans="1:5">
      <c r="A8" s="18">
        <v>5</v>
      </c>
      <c r="B8" s="19">
        <v>2.5099999999999998</v>
      </c>
    </row>
    <row r="9" spans="1:5">
      <c r="A9" s="18">
        <v>5.5</v>
      </c>
      <c r="B9" s="1">
        <v>2.238</v>
      </c>
    </row>
    <row r="10" spans="1:5">
      <c r="A10" s="18">
        <v>6</v>
      </c>
      <c r="B10" s="1">
        <v>2.0230000000000001</v>
      </c>
    </row>
    <row r="11" spans="1:5" ht="13.5" thickBot="1"/>
    <row r="12" spans="1:5">
      <c r="A12" s="10" t="s">
        <v>55</v>
      </c>
      <c r="B12" s="11"/>
    </row>
    <row r="13" spans="1:5">
      <c r="A13" s="20" t="s">
        <v>60</v>
      </c>
      <c r="B13" s="21"/>
    </row>
    <row r="14" spans="1:5">
      <c r="A14" s="20" t="s">
        <v>62</v>
      </c>
      <c r="B14" s="21"/>
    </row>
    <row r="15" spans="1:5">
      <c r="A15" s="27" t="s">
        <v>64</v>
      </c>
      <c r="B15" s="28" t="s">
        <v>86</v>
      </c>
    </row>
    <row r="16" spans="1:5" ht="13.5" thickBot="1">
      <c r="A16" s="22">
        <v>8</v>
      </c>
      <c r="B16" s="23">
        <f>(16.18)*((A16)^-1.1599)</f>
        <v>1.4503888130751637</v>
      </c>
    </row>
    <row r="31" spans="1:6" ht="13.5" thickBot="1"/>
    <row r="32" spans="1:6">
      <c r="A32" s="17">
        <v>39833</v>
      </c>
      <c r="E32" s="10" t="s">
        <v>55</v>
      </c>
      <c r="F32" s="11"/>
    </row>
    <row r="33" spans="1:12">
      <c r="A33" t="s">
        <v>66</v>
      </c>
      <c r="E33" s="20" t="s">
        <v>60</v>
      </c>
      <c r="F33" s="21"/>
    </row>
    <row r="34" spans="1:12">
      <c r="A34" t="s">
        <v>67</v>
      </c>
      <c r="B34">
        <v>750</v>
      </c>
      <c r="C34" t="s">
        <v>68</v>
      </c>
      <c r="E34" s="20" t="s">
        <v>62</v>
      </c>
      <c r="F34" s="21"/>
    </row>
    <row r="35" spans="1:12">
      <c r="A35" t="s">
        <v>70</v>
      </c>
      <c r="B35">
        <v>19.600000000000001</v>
      </c>
      <c r="C35" t="s">
        <v>71</v>
      </c>
      <c r="E35" s="37" t="s">
        <v>64</v>
      </c>
      <c r="F35" s="40" t="s">
        <v>95</v>
      </c>
    </row>
    <row r="36" spans="1:12" ht="13.5" thickBot="1">
      <c r="E36" s="22">
        <v>10</v>
      </c>
      <c r="F36" s="23">
        <f>0.040433666*(E36)^2.2438339</f>
        <v>7.0888701181109885</v>
      </c>
      <c r="L36" s="50"/>
    </row>
    <row r="37" spans="1:12">
      <c r="B37" s="3" t="s">
        <v>72</v>
      </c>
      <c r="C37" s="3"/>
      <c r="D37" s="3"/>
    </row>
    <row r="38" spans="1:12">
      <c r="A38" s="3" t="s">
        <v>73</v>
      </c>
      <c r="B38" s="3" t="s">
        <v>74</v>
      </c>
      <c r="C38" s="3" t="s">
        <v>75</v>
      </c>
      <c r="D38" s="3"/>
      <c r="E38" s="3" t="s">
        <v>65</v>
      </c>
      <c r="F38" s="3" t="s">
        <v>65</v>
      </c>
    </row>
    <row r="39" spans="1:12">
      <c r="A39" s="3" t="s">
        <v>76</v>
      </c>
      <c r="B39" s="3" t="s">
        <v>77</v>
      </c>
      <c r="C39" s="3" t="s">
        <v>77</v>
      </c>
      <c r="D39" s="3" t="s">
        <v>78</v>
      </c>
      <c r="E39" s="3" t="s">
        <v>79</v>
      </c>
      <c r="F39" s="3" t="s">
        <v>79</v>
      </c>
    </row>
    <row r="40" spans="1:12">
      <c r="A40" s="3" t="s">
        <v>80</v>
      </c>
      <c r="B40" s="3" t="s">
        <v>68</v>
      </c>
      <c r="C40" s="3" t="s">
        <v>71</v>
      </c>
      <c r="D40" s="3" t="s">
        <v>81</v>
      </c>
      <c r="E40" s="3" t="s">
        <v>82</v>
      </c>
      <c r="F40" s="3" t="s">
        <v>83</v>
      </c>
    </row>
    <row r="41" spans="1:12">
      <c r="A41" s="1" t="s">
        <v>84</v>
      </c>
      <c r="B41" s="1">
        <v>179.9</v>
      </c>
      <c r="C41" s="1">
        <v>20.2</v>
      </c>
      <c r="D41" s="19">
        <f>(((B41)*(0.040242758))-0.151395046)*((760/$B$34)*((273.15+C41)/293.15))</f>
        <v>7.1876878976370087</v>
      </c>
      <c r="E41" s="19">
        <v>3.42</v>
      </c>
      <c r="F41" s="19">
        <f>0.980665*E41</f>
        <v>3.3538742999999998</v>
      </c>
      <c r="I41" s="51"/>
      <c r="K41" s="51"/>
    </row>
    <row r="42" spans="1:12">
      <c r="A42" s="1"/>
      <c r="B42" s="1">
        <v>223.1</v>
      </c>
      <c r="C42" s="1">
        <v>20.2</v>
      </c>
      <c r="D42" s="19">
        <f>(((B42)*(0.040242758))-0.151395046)*((760/$B$34)*((273.15+C42)/293.15))</f>
        <v>8.9505567595981788</v>
      </c>
      <c r="E42" s="19">
        <v>5.4</v>
      </c>
      <c r="F42" s="19">
        <f>0.980665*E42</f>
        <v>5.2955910000000008</v>
      </c>
      <c r="I42" s="51"/>
      <c r="J42" s="51"/>
      <c r="K42" s="51"/>
    </row>
    <row r="43" spans="1:12">
      <c r="A43" s="1"/>
      <c r="B43" s="1">
        <v>274.3</v>
      </c>
      <c r="C43" s="1">
        <v>20.2</v>
      </c>
      <c r="D43" s="19">
        <f>(((B43)*(0.040242758))-0.151395046)*((760/$B$34)*((273.15+C43)/293.15))</f>
        <v>11.039882818218823</v>
      </c>
      <c r="E43" s="19">
        <v>8.9</v>
      </c>
      <c r="F43" s="19">
        <f>0.980665*E43</f>
        <v>8.7279185000000012</v>
      </c>
      <c r="I43" s="51"/>
      <c r="J43" s="51"/>
      <c r="K43" s="51"/>
    </row>
    <row r="44" spans="1:12">
      <c r="A44" s="1"/>
      <c r="B44" s="1"/>
      <c r="C44" s="1"/>
      <c r="D44" s="19"/>
      <c r="E44" s="19"/>
      <c r="F44" s="19"/>
      <c r="I44" s="51"/>
      <c r="J44" s="51"/>
      <c r="K44" s="51"/>
    </row>
    <row r="45" spans="1:12">
      <c r="A45" t="s">
        <v>67</v>
      </c>
      <c r="B45">
        <v>750</v>
      </c>
      <c r="C45" t="s">
        <v>68</v>
      </c>
      <c r="I45" s="51"/>
      <c r="J45" s="51"/>
      <c r="K45" s="51"/>
    </row>
    <row r="46" spans="1:12">
      <c r="A46" t="s">
        <v>70</v>
      </c>
      <c r="B46">
        <v>19.600000000000001</v>
      </c>
      <c r="C46" t="s">
        <v>71</v>
      </c>
      <c r="I46" s="51"/>
      <c r="J46" s="51"/>
      <c r="K46" s="51"/>
    </row>
    <row r="47" spans="1:12">
      <c r="A47" s="1" t="s">
        <v>85</v>
      </c>
      <c r="B47" s="1">
        <v>148.69999999999999</v>
      </c>
      <c r="C47" s="1">
        <v>20.100000000000001</v>
      </c>
      <c r="D47" s="19">
        <f>(((B47)*(0.010548501))-0.04391105)*((760/$B$45)*((273.15+C47)/293.15))</f>
        <v>1.545506756376231</v>
      </c>
      <c r="E47" s="19">
        <v>0.13</v>
      </c>
      <c r="F47" s="19">
        <f>0.980665*E47</f>
        <v>0.12748645</v>
      </c>
      <c r="I47" s="51"/>
      <c r="J47" s="51"/>
      <c r="K47" s="51"/>
    </row>
    <row r="48" spans="1:12">
      <c r="A48" s="1"/>
      <c r="B48" s="1">
        <v>254.6</v>
      </c>
      <c r="C48" s="1">
        <v>20.100000000000001</v>
      </c>
      <c r="D48" s="19">
        <f>(((B48)*(0.010548501))-0.04391105)*((760/$B$45)*((273.15+C48)/293.15))</f>
        <v>2.6778736395529124</v>
      </c>
      <c r="E48" s="19">
        <v>0.37</v>
      </c>
      <c r="F48" s="19">
        <f>0.980665*E48</f>
        <v>0.36284604999999998</v>
      </c>
      <c r="I48" s="51"/>
      <c r="J48" s="51"/>
      <c r="K48" s="51"/>
    </row>
    <row r="49" spans="1:12">
      <c r="B49" s="1">
        <v>349.9</v>
      </c>
      <c r="C49" s="1">
        <v>20.100000000000001</v>
      </c>
      <c r="D49" s="19">
        <f>(((B49)*(0.010548501))-0.04391105)*((760/$B$45)*((273.15+C49)/293.15))</f>
        <v>3.6968969064720594</v>
      </c>
      <c r="E49" s="19">
        <v>0.78</v>
      </c>
      <c r="F49" s="19">
        <f>0.980665*E49</f>
        <v>0.76491870000000006</v>
      </c>
      <c r="I49" s="51"/>
      <c r="J49" s="51"/>
      <c r="K49" s="51"/>
    </row>
    <row r="50" spans="1:12">
      <c r="A50" s="1"/>
      <c r="B50" s="1">
        <v>461.5</v>
      </c>
      <c r="C50" s="1">
        <v>20.100000000000001</v>
      </c>
      <c r="D50" s="19">
        <f>(((B50)*(0.010548501))-0.04391105)*((760/$B$45)*((273.15+C50)/293.15))</f>
        <v>4.8902127153721313</v>
      </c>
      <c r="E50" s="19">
        <v>1.4350000000000001</v>
      </c>
      <c r="F50" s="19">
        <f>0.980665*E50</f>
        <v>1.4072542750000001</v>
      </c>
      <c r="I50" s="51"/>
      <c r="J50" s="51"/>
      <c r="K50" s="51"/>
    </row>
    <row r="51" spans="1:12">
      <c r="A51" s="1"/>
      <c r="B51" s="1">
        <v>599.4</v>
      </c>
      <c r="C51" s="1">
        <v>20.100000000000001</v>
      </c>
      <c r="D51" s="19">
        <f>(((B51)*(0.010548501))-0.04391105)*((760/$B$45)*((273.15+C51)/293.15))</f>
        <v>6.3647490061187257</v>
      </c>
      <c r="E51" s="19">
        <v>2.61</v>
      </c>
      <c r="F51" s="19">
        <f>0.980665*E51</f>
        <v>2.5595356499999999</v>
      </c>
      <c r="I51" s="51"/>
      <c r="J51" s="51"/>
      <c r="K51" s="51"/>
    </row>
    <row r="52" spans="1:12">
      <c r="I52" s="51"/>
      <c r="J52" s="51"/>
      <c r="K52" s="51"/>
      <c r="L52" s="51"/>
    </row>
    <row r="53" spans="1:12">
      <c r="I53" s="51"/>
      <c r="J53" s="51"/>
      <c r="K53" s="51"/>
      <c r="L53" s="51"/>
    </row>
    <row r="54" spans="1:12">
      <c r="I54" s="51"/>
      <c r="J54" s="51"/>
      <c r="K54" s="51"/>
      <c r="L54" s="51"/>
    </row>
    <row r="55" spans="1:12">
      <c r="I55" s="51"/>
      <c r="J55" s="51"/>
      <c r="K55" s="51"/>
      <c r="L55" s="51"/>
    </row>
  </sheetData>
  <phoneticPr fontId="2" type="noConversion"/>
  <pageMargins left="0.75" right="0.75" top="1" bottom="1" header="0.5" footer="0.5"/>
  <pageSetup scale="63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8"/>
  <sheetViews>
    <sheetView zoomScaleNormal="100" workbookViewId="0"/>
  </sheetViews>
  <sheetFormatPr defaultRowHeight="12.75"/>
  <cols>
    <col min="1" max="1" width="10.5703125" bestFit="1" customWidth="1"/>
    <col min="2" max="2" width="12" customWidth="1"/>
    <col min="3" max="4" width="9.28515625" bestFit="1" customWidth="1"/>
    <col min="5" max="5" width="10.28515625" customWidth="1"/>
    <col min="6" max="6" width="9.28515625" bestFit="1" customWidth="1"/>
  </cols>
  <sheetData>
    <row r="1" spans="1:2">
      <c r="A1" s="1" t="s">
        <v>81</v>
      </c>
      <c r="B1" s="1" t="s">
        <v>86</v>
      </c>
    </row>
    <row r="2" spans="1:2">
      <c r="A2">
        <v>5</v>
      </c>
      <c r="B2">
        <v>5.548</v>
      </c>
    </row>
    <row r="3" spans="1:2">
      <c r="A3">
        <v>6</v>
      </c>
      <c r="B3">
        <v>4.4889999999999999</v>
      </c>
    </row>
    <row r="4" spans="1:2">
      <c r="A4">
        <v>7</v>
      </c>
      <c r="B4">
        <v>3.754</v>
      </c>
    </row>
    <row r="5" spans="1:2">
      <c r="A5">
        <v>8</v>
      </c>
      <c r="B5">
        <v>3.2149999999999999</v>
      </c>
    </row>
    <row r="6" spans="1:2">
      <c r="A6">
        <v>9</v>
      </c>
      <c r="B6">
        <v>2.8039999999999998</v>
      </c>
    </row>
    <row r="7" spans="1:2">
      <c r="A7">
        <v>10</v>
      </c>
      <c r="B7">
        <v>2.4809999999999999</v>
      </c>
    </row>
    <row r="8" spans="1:2">
      <c r="A8">
        <v>11</v>
      </c>
      <c r="B8">
        <v>2.2210000000000001</v>
      </c>
    </row>
    <row r="9" spans="1:2">
      <c r="A9">
        <v>12</v>
      </c>
      <c r="B9">
        <v>2.008</v>
      </c>
    </row>
    <row r="10" spans="1:2">
      <c r="A10">
        <v>13</v>
      </c>
      <c r="B10">
        <v>1.829</v>
      </c>
    </row>
    <row r="11" spans="1:2">
      <c r="A11">
        <v>14</v>
      </c>
      <c r="B11">
        <v>1.679</v>
      </c>
    </row>
    <row r="12" spans="1:2">
      <c r="A12">
        <v>15</v>
      </c>
      <c r="B12">
        <v>1.5489999999999999</v>
      </c>
    </row>
    <row r="13" spans="1:2" ht="13.5" thickBot="1"/>
    <row r="14" spans="1:2">
      <c r="A14" s="10" t="s">
        <v>111</v>
      </c>
      <c r="B14" s="11"/>
    </row>
    <row r="15" spans="1:2">
      <c r="A15" s="33" t="s">
        <v>58</v>
      </c>
      <c r="B15" s="21"/>
    </row>
    <row r="16" spans="1:2">
      <c r="A16" s="32" t="s">
        <v>90</v>
      </c>
      <c r="B16" s="21"/>
    </row>
    <row r="17" spans="1:12">
      <c r="A17" s="27" t="s">
        <v>64</v>
      </c>
      <c r="B17" s="28" t="s">
        <v>86</v>
      </c>
    </row>
    <row r="18" spans="1:12" ht="13.5" thickBot="1">
      <c r="A18" s="29">
        <v>10</v>
      </c>
      <c r="B18" s="30">
        <f>35.953*(A18)^-1.1611</f>
        <v>2.4810478185982485</v>
      </c>
    </row>
    <row r="26" spans="1:12" ht="13.5" thickBot="1">
      <c r="A26" s="17">
        <v>39833</v>
      </c>
      <c r="B26" s="14" t="s">
        <v>91</v>
      </c>
      <c r="C26" t="s">
        <v>92</v>
      </c>
    </row>
    <row r="27" spans="1:12">
      <c r="A27" t="s">
        <v>18</v>
      </c>
      <c r="E27" s="10" t="s">
        <v>55</v>
      </c>
      <c r="F27" s="11"/>
    </row>
    <row r="28" spans="1:12">
      <c r="A28" t="s">
        <v>66</v>
      </c>
      <c r="E28" s="20" t="s">
        <v>60</v>
      </c>
      <c r="F28" s="21"/>
    </row>
    <row r="29" spans="1:12">
      <c r="A29" t="s">
        <v>67</v>
      </c>
      <c r="B29">
        <v>751.8</v>
      </c>
      <c r="C29" t="s">
        <v>68</v>
      </c>
      <c r="E29" s="20" t="s">
        <v>62</v>
      </c>
      <c r="F29" s="21"/>
    </row>
    <row r="30" spans="1:12">
      <c r="A30" t="s">
        <v>70</v>
      </c>
      <c r="B30">
        <v>19.600000000000001</v>
      </c>
      <c r="C30" t="s">
        <v>71</v>
      </c>
      <c r="E30" s="37" t="s">
        <v>64</v>
      </c>
      <c r="F30" s="40" t="s">
        <v>95</v>
      </c>
    </row>
    <row r="31" spans="1:12" ht="13.5" thickBot="1">
      <c r="E31" s="22">
        <v>10</v>
      </c>
      <c r="F31" s="23">
        <f>0.0088501376*(E31)^2.2377792</f>
        <v>1.530133146189957</v>
      </c>
      <c r="L31" s="50"/>
    </row>
    <row r="32" spans="1:12">
      <c r="B32" s="3" t="s">
        <v>72</v>
      </c>
      <c r="C32" s="3"/>
      <c r="D32" s="3"/>
      <c r="E32" s="3"/>
      <c r="F32" s="3"/>
    </row>
    <row r="33" spans="1:12">
      <c r="A33" s="3" t="s">
        <v>73</v>
      </c>
      <c r="B33" s="3" t="s">
        <v>74</v>
      </c>
      <c r="C33" s="3" t="s">
        <v>75</v>
      </c>
      <c r="D33" s="3"/>
      <c r="E33" s="3" t="s">
        <v>65</v>
      </c>
      <c r="F33" s="3" t="s">
        <v>65</v>
      </c>
    </row>
    <row r="34" spans="1:12">
      <c r="A34" s="3" t="s">
        <v>76</v>
      </c>
      <c r="B34" s="3" t="s">
        <v>77</v>
      </c>
      <c r="C34" s="3" t="s">
        <v>77</v>
      </c>
      <c r="D34" s="3" t="s">
        <v>78</v>
      </c>
      <c r="E34" s="3" t="s">
        <v>79</v>
      </c>
      <c r="F34" s="3" t="s">
        <v>79</v>
      </c>
    </row>
    <row r="35" spans="1:12">
      <c r="A35" s="3" t="s">
        <v>80</v>
      </c>
      <c r="B35" s="3" t="s">
        <v>68</v>
      </c>
      <c r="C35" s="3" t="s">
        <v>71</v>
      </c>
      <c r="D35" s="3" t="s">
        <v>81</v>
      </c>
      <c r="E35" s="3" t="s">
        <v>82</v>
      </c>
      <c r="F35" s="3" t="s">
        <v>83</v>
      </c>
    </row>
    <row r="36" spans="1:12">
      <c r="A36" s="1" t="s">
        <v>84</v>
      </c>
      <c r="B36" s="1">
        <v>176.8</v>
      </c>
      <c r="C36" s="1">
        <v>20</v>
      </c>
      <c r="D36" s="19">
        <f>(((B36)*(0.040242758))-0.151395046)*((760/$B$29)*((273.15+C36)/293.15))</f>
        <v>7.0394768182814582</v>
      </c>
      <c r="E36" s="19">
        <v>0.71</v>
      </c>
      <c r="F36" s="19">
        <f t="shared" ref="F36:F42" si="0">0.980665*E36</f>
        <v>0.69627214999999998</v>
      </c>
      <c r="I36" s="51"/>
      <c r="K36" s="51"/>
    </row>
    <row r="37" spans="1:12">
      <c r="A37" s="1"/>
      <c r="B37" s="1">
        <v>225.7</v>
      </c>
      <c r="C37" s="1">
        <v>20.100000000000001</v>
      </c>
      <c r="D37" s="19">
        <f t="shared" ref="D37:D42" si="1">(((B37)*(0.040242758))-0.151395046)*((760/$B$29)*((273.15+C37)/293.15))</f>
        <v>9.0318914882152068</v>
      </c>
      <c r="E37" s="19">
        <v>1.24</v>
      </c>
      <c r="F37" s="19">
        <f t="shared" si="0"/>
        <v>1.2160245999999999</v>
      </c>
      <c r="I37" s="51"/>
      <c r="J37" s="51"/>
      <c r="K37" s="51"/>
    </row>
    <row r="38" spans="1:12">
      <c r="A38" s="1"/>
      <c r="B38" s="1">
        <v>274.7</v>
      </c>
      <c r="C38" s="1">
        <v>20.100000000000001</v>
      </c>
      <c r="D38" s="19">
        <f t="shared" si="1"/>
        <v>11.025974392627596</v>
      </c>
      <c r="E38" s="19">
        <v>1.94</v>
      </c>
      <c r="F38" s="19">
        <f t="shared" si="0"/>
        <v>1.9024901000000001</v>
      </c>
      <c r="I38" s="51"/>
      <c r="J38" s="51"/>
      <c r="K38" s="51"/>
    </row>
    <row r="39" spans="1:12">
      <c r="A39" s="1"/>
      <c r="B39" s="1">
        <v>319.7</v>
      </c>
      <c r="C39" s="1">
        <v>20.100000000000001</v>
      </c>
      <c r="D39" s="19">
        <f t="shared" si="1"/>
        <v>12.857275019128767</v>
      </c>
      <c r="E39" s="19">
        <v>2.4300000000000002</v>
      </c>
      <c r="F39" s="19">
        <f t="shared" si="0"/>
        <v>2.3830159500000003</v>
      </c>
      <c r="I39" s="51"/>
      <c r="J39" s="51"/>
      <c r="K39" s="51"/>
    </row>
    <row r="40" spans="1:12">
      <c r="A40" s="1"/>
      <c r="B40" s="1">
        <v>375</v>
      </c>
      <c r="C40" s="18">
        <v>20</v>
      </c>
      <c r="D40" s="19">
        <f t="shared" si="1"/>
        <v>15.102588181750466</v>
      </c>
      <c r="E40" s="19">
        <v>3.9</v>
      </c>
      <c r="F40" s="19">
        <f t="shared" si="0"/>
        <v>3.8245934999999998</v>
      </c>
      <c r="I40" s="51"/>
      <c r="J40" s="51"/>
      <c r="K40" s="51"/>
    </row>
    <row r="41" spans="1:12">
      <c r="A41" s="1"/>
      <c r="B41" s="1">
        <v>429.8</v>
      </c>
      <c r="C41" s="1">
        <v>19.899999999999999</v>
      </c>
      <c r="D41" s="19">
        <f t="shared" si="1"/>
        <v>17.32603259308091</v>
      </c>
      <c r="E41" s="19">
        <v>5.0999999999999996</v>
      </c>
      <c r="F41" s="19">
        <f t="shared" si="0"/>
        <v>5.0013914999999995</v>
      </c>
      <c r="I41" s="51"/>
      <c r="J41" s="51"/>
      <c r="K41" s="51"/>
    </row>
    <row r="42" spans="1:12">
      <c r="A42" s="1"/>
      <c r="B42" s="1">
        <v>528.70000000000005</v>
      </c>
      <c r="C42" s="1">
        <v>19.899999999999999</v>
      </c>
      <c r="D42" s="19">
        <f t="shared" si="1"/>
        <v>21.348079458376816</v>
      </c>
      <c r="E42" s="19">
        <v>8.4</v>
      </c>
      <c r="F42" s="19">
        <f t="shared" si="0"/>
        <v>8.2375860000000003</v>
      </c>
      <c r="I42" s="51"/>
      <c r="J42" s="51"/>
      <c r="K42" s="51"/>
    </row>
    <row r="43" spans="1:12">
      <c r="I43" s="51"/>
      <c r="J43" s="51"/>
      <c r="K43" s="51"/>
    </row>
    <row r="44" spans="1:12">
      <c r="A44" t="s">
        <v>67</v>
      </c>
      <c r="B44">
        <v>751.8</v>
      </c>
      <c r="C44" t="s">
        <v>68</v>
      </c>
      <c r="I44" s="51"/>
      <c r="J44" s="51"/>
      <c r="K44" s="51"/>
    </row>
    <row r="45" spans="1:12">
      <c r="A45" t="s">
        <v>70</v>
      </c>
      <c r="B45">
        <v>19.600000000000001</v>
      </c>
      <c r="C45" t="s">
        <v>71</v>
      </c>
      <c r="I45" s="51"/>
      <c r="J45" s="51"/>
      <c r="K45" s="51"/>
    </row>
    <row r="46" spans="1:12">
      <c r="A46" s="1" t="s">
        <v>85</v>
      </c>
      <c r="B46" s="1">
        <v>353.9</v>
      </c>
      <c r="C46" s="18">
        <v>20</v>
      </c>
      <c r="D46" s="19">
        <f>(((B46)*(0.010548501))-0.04391105)*((760/$B$44)*((273.15+C46)/293.15))</f>
        <v>3.7294421720723601</v>
      </c>
      <c r="E46" s="19">
        <v>0.18</v>
      </c>
      <c r="F46" s="19">
        <f>0.980665*E46</f>
        <v>0.1765197</v>
      </c>
      <c r="I46" s="51"/>
      <c r="J46" s="51"/>
      <c r="K46" s="51"/>
    </row>
    <row r="47" spans="1:12">
      <c r="A47" s="1"/>
      <c r="B47" s="1">
        <v>458.9</v>
      </c>
      <c r="C47" s="18">
        <v>20</v>
      </c>
      <c r="D47" s="19">
        <f>(((B47)*(0.010548501))-0.04391105)*((760/$B$44)*((273.15+C47)/293.15))</f>
        <v>4.8491154625751536</v>
      </c>
      <c r="E47" s="19">
        <v>0.3</v>
      </c>
      <c r="F47" s="19">
        <f>0.980665*E47</f>
        <v>0.2941995</v>
      </c>
      <c r="I47" s="51"/>
      <c r="J47" s="51"/>
      <c r="K47" s="51"/>
      <c r="L47" s="51"/>
    </row>
    <row r="48" spans="1:12">
      <c r="I48" s="51"/>
      <c r="J48" s="51"/>
      <c r="K48" s="51"/>
      <c r="L48" s="51"/>
    </row>
  </sheetData>
  <phoneticPr fontId="2" type="noConversion"/>
  <pageMargins left="0.75" right="0.75" top="1" bottom="1" header="0.5" footer="0.5"/>
  <pageSetup scale="64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48"/>
  <sheetViews>
    <sheetView zoomScaleNormal="100" workbookViewId="0">
      <selection activeCell="C21" sqref="C21"/>
    </sheetView>
  </sheetViews>
  <sheetFormatPr defaultRowHeight="12.75"/>
  <cols>
    <col min="1" max="1" width="10.140625" bestFit="1" customWidth="1"/>
    <col min="2" max="2" width="13.140625" customWidth="1"/>
    <col min="3" max="4" width="9.28515625" bestFit="1" customWidth="1"/>
    <col min="5" max="5" width="10" customWidth="1"/>
    <col min="6" max="6" width="9.28515625" bestFit="1" customWidth="1"/>
  </cols>
  <sheetData>
    <row r="1" spans="1:2">
      <c r="A1" s="4" t="s">
        <v>112</v>
      </c>
    </row>
    <row r="3" spans="1:2">
      <c r="A3" s="1" t="s">
        <v>81</v>
      </c>
      <c r="B3" s="1" t="s">
        <v>86</v>
      </c>
    </row>
    <row r="4" spans="1:2">
      <c r="A4" s="1">
        <v>10</v>
      </c>
      <c r="B4" s="1">
        <v>1.806</v>
      </c>
    </row>
    <row r="5" spans="1:2">
      <c r="A5" s="1">
        <v>11</v>
      </c>
      <c r="B5" s="1">
        <v>1.6180000000000001</v>
      </c>
    </row>
    <row r="6" spans="1:2">
      <c r="A6" s="1">
        <v>12</v>
      </c>
      <c r="B6" s="1">
        <v>1.464</v>
      </c>
    </row>
    <row r="7" spans="1:2">
      <c r="A7" s="1">
        <v>13</v>
      </c>
      <c r="B7" s="1">
        <v>1.335</v>
      </c>
    </row>
    <row r="8" spans="1:2">
      <c r="A8" s="1">
        <v>14</v>
      </c>
      <c r="B8" s="1">
        <v>1.2250000000000001</v>
      </c>
    </row>
    <row r="9" spans="1:2">
      <c r="A9" s="1">
        <v>15</v>
      </c>
      <c r="B9" s="1">
        <v>1.1319999999999999</v>
      </c>
    </row>
    <row r="10" spans="1:2">
      <c r="A10" s="1">
        <v>16</v>
      </c>
      <c r="B10" s="1">
        <v>1.0509999999999999</v>
      </c>
    </row>
    <row r="11" spans="1:2">
      <c r="A11" s="1">
        <v>17</v>
      </c>
      <c r="B11" s="1">
        <v>0.98</v>
      </c>
    </row>
    <row r="12" spans="1:2">
      <c r="A12" s="1">
        <v>18</v>
      </c>
      <c r="B12" s="1">
        <v>0.91700000000000004</v>
      </c>
    </row>
    <row r="13" spans="1:2">
      <c r="A13" s="1">
        <v>19</v>
      </c>
      <c r="B13" s="1">
        <v>0.86199999999999999</v>
      </c>
    </row>
    <row r="14" spans="1:2">
      <c r="A14" s="1">
        <v>20</v>
      </c>
      <c r="B14" s="1">
        <v>0.81299999999999994</v>
      </c>
    </row>
    <row r="16" spans="1:2" ht="13.5" thickBot="1"/>
    <row r="17" spans="1:12">
      <c r="A17" s="10" t="s">
        <v>111</v>
      </c>
      <c r="B17" s="11"/>
    </row>
    <row r="18" spans="1:12">
      <c r="A18" s="33" t="s">
        <v>58</v>
      </c>
      <c r="B18" s="21"/>
    </row>
    <row r="19" spans="1:12">
      <c r="A19" s="32" t="s">
        <v>90</v>
      </c>
      <c r="B19" s="21"/>
    </row>
    <row r="20" spans="1:12">
      <c r="A20" s="27" t="s">
        <v>57</v>
      </c>
      <c r="B20" s="28" t="s">
        <v>86</v>
      </c>
    </row>
    <row r="21" spans="1:12" ht="13.5" thickBot="1">
      <c r="A21" s="12">
        <v>16.670000000000002</v>
      </c>
      <c r="B21" s="13">
        <f>(25.63)*(A21)^-1.1521</f>
        <v>1.0022050842658821</v>
      </c>
    </row>
    <row r="23" spans="1:12" ht="13.5" thickBot="1">
      <c r="A23" s="17">
        <v>39664</v>
      </c>
      <c r="B23" s="14" t="s">
        <v>91</v>
      </c>
      <c r="C23" t="s">
        <v>92</v>
      </c>
    </row>
    <row r="24" spans="1:12">
      <c r="A24" t="s">
        <v>22</v>
      </c>
      <c r="E24" s="10" t="s">
        <v>55</v>
      </c>
      <c r="F24" s="11"/>
    </row>
    <row r="25" spans="1:12">
      <c r="A25" t="s">
        <v>66</v>
      </c>
      <c r="E25" s="20" t="s">
        <v>60</v>
      </c>
      <c r="F25" s="21"/>
    </row>
    <row r="26" spans="1:12">
      <c r="A26" t="s">
        <v>67</v>
      </c>
      <c r="B26">
        <v>756.1</v>
      </c>
      <c r="C26" t="s">
        <v>68</v>
      </c>
      <c r="E26" s="20" t="s">
        <v>62</v>
      </c>
      <c r="F26" s="21"/>
    </row>
    <row r="27" spans="1:12">
      <c r="A27" t="s">
        <v>70</v>
      </c>
      <c r="B27">
        <v>22.5</v>
      </c>
      <c r="C27" t="s">
        <v>71</v>
      </c>
      <c r="E27" s="37" t="s">
        <v>64</v>
      </c>
      <c r="F27" s="40" t="s">
        <v>95</v>
      </c>
    </row>
    <row r="28" spans="1:12" ht="13.5" thickBot="1">
      <c r="D28" t="s">
        <v>105</v>
      </c>
      <c r="E28" s="22">
        <v>16.670000000000002</v>
      </c>
      <c r="F28" s="23">
        <f>0.018943682*(E28)^2.2315878</f>
        <v>10.099990650019539</v>
      </c>
      <c r="L28" s="50"/>
    </row>
    <row r="29" spans="1:12">
      <c r="B29" s="3" t="s">
        <v>72</v>
      </c>
      <c r="C29" s="3"/>
      <c r="D29" s="3"/>
      <c r="E29" s="3"/>
      <c r="F29" s="3"/>
    </row>
    <row r="30" spans="1:12">
      <c r="A30" s="3" t="s">
        <v>73</v>
      </c>
      <c r="B30" s="3" t="s">
        <v>74</v>
      </c>
      <c r="C30" s="3" t="s">
        <v>75</v>
      </c>
      <c r="D30" s="3"/>
      <c r="E30" s="3" t="s">
        <v>65</v>
      </c>
      <c r="F30" s="3" t="s">
        <v>65</v>
      </c>
    </row>
    <row r="31" spans="1:12">
      <c r="A31" s="3" t="s">
        <v>76</v>
      </c>
      <c r="B31" s="3" t="s">
        <v>77</v>
      </c>
      <c r="C31" s="3" t="s">
        <v>77</v>
      </c>
      <c r="D31" s="3" t="s">
        <v>78</v>
      </c>
      <c r="E31" s="3" t="s">
        <v>79</v>
      </c>
      <c r="F31" s="3" t="s">
        <v>79</v>
      </c>
    </row>
    <row r="32" spans="1:12">
      <c r="A32" s="3" t="s">
        <v>80</v>
      </c>
      <c r="B32" s="3" t="s">
        <v>68</v>
      </c>
      <c r="C32" s="3" t="s">
        <v>71</v>
      </c>
      <c r="D32" s="3" t="s">
        <v>81</v>
      </c>
      <c r="E32" s="3" t="s">
        <v>82</v>
      </c>
      <c r="F32" s="3" t="s">
        <v>83</v>
      </c>
    </row>
    <row r="33" spans="1:12">
      <c r="B33" s="3"/>
      <c r="C33" s="3"/>
      <c r="D33" s="54"/>
      <c r="E33" s="3"/>
      <c r="F33" s="3"/>
      <c r="I33" s="51"/>
      <c r="K33" s="51"/>
    </row>
    <row r="34" spans="1:12">
      <c r="A34" s="1" t="s">
        <v>96</v>
      </c>
      <c r="B34" s="1">
        <v>124.8</v>
      </c>
      <c r="C34" s="1">
        <v>22.6</v>
      </c>
      <c r="D34" s="19">
        <f>(((B34)*(0.03942404))-0.19533397)*((760/$B$26)*((273.15+C34)/293.15))</f>
        <v>4.7912780210022774</v>
      </c>
      <c r="E34" s="19">
        <v>0.61499999999999999</v>
      </c>
      <c r="F34" s="19">
        <f>0.980665*E34</f>
        <v>0.60310897500000005</v>
      </c>
      <c r="I34" s="51"/>
      <c r="J34" s="51"/>
      <c r="K34" s="51"/>
    </row>
    <row r="35" spans="1:12">
      <c r="A35" s="1"/>
      <c r="B35" s="1">
        <v>175.9</v>
      </c>
      <c r="C35" s="1">
        <v>22.6</v>
      </c>
      <c r="D35" s="19">
        <f t="shared" ref="D35:D48" si="0">(((B35)*(0.03942404))-0.19533397)*((760/$B$26)*((273.15+C35)/293.15))</f>
        <v>6.8341974366147209</v>
      </c>
      <c r="E35" s="19">
        <v>1.32</v>
      </c>
      <c r="F35" s="19">
        <f t="shared" ref="F35:F48" si="1">0.980665*E35</f>
        <v>1.2944778000000001</v>
      </c>
      <c r="I35" s="51"/>
      <c r="J35" s="51"/>
      <c r="K35" s="51"/>
    </row>
    <row r="36" spans="1:12">
      <c r="A36" s="1"/>
      <c r="B36" s="1">
        <v>223.9</v>
      </c>
      <c r="C36" s="1">
        <v>22.6</v>
      </c>
      <c r="D36" s="19">
        <f t="shared" si="0"/>
        <v>8.753182406270243</v>
      </c>
      <c r="E36" s="19">
        <v>2.31</v>
      </c>
      <c r="F36" s="19">
        <f t="shared" si="1"/>
        <v>2.26533615</v>
      </c>
      <c r="I36" s="51"/>
      <c r="J36" s="51"/>
      <c r="K36" s="51"/>
    </row>
    <row r="37" spans="1:12">
      <c r="A37" s="1"/>
      <c r="B37" s="1">
        <v>274.89999999999998</v>
      </c>
      <c r="C37" s="1">
        <v>22.6</v>
      </c>
      <c r="D37" s="19">
        <f t="shared" si="0"/>
        <v>10.792103936529235</v>
      </c>
      <c r="E37" s="19">
        <v>3.7349999999999999</v>
      </c>
      <c r="F37" s="19">
        <f t="shared" si="1"/>
        <v>3.6627837749999999</v>
      </c>
      <c r="I37" s="51"/>
      <c r="J37" s="51"/>
      <c r="K37" s="51"/>
    </row>
    <row r="38" spans="1:12">
      <c r="A38" s="1"/>
      <c r="B38" s="1">
        <v>320.5</v>
      </c>
      <c r="C38" s="1">
        <v>22.4</v>
      </c>
      <c r="D38" s="19">
        <f t="shared" si="0"/>
        <v>12.60660870949728</v>
      </c>
      <c r="E38" s="19">
        <v>5.2</v>
      </c>
      <c r="F38" s="19">
        <f t="shared" si="1"/>
        <v>5.0994580000000003</v>
      </c>
      <c r="I38" s="51"/>
      <c r="J38" s="51"/>
      <c r="K38" s="51"/>
    </row>
    <row r="39" spans="1:12">
      <c r="A39" s="1"/>
      <c r="B39" s="1">
        <v>374.8</v>
      </c>
      <c r="C39" s="1">
        <v>22.6</v>
      </c>
      <c r="D39" s="19">
        <f t="shared" si="0"/>
        <v>14.785991404624793</v>
      </c>
      <c r="E39" s="19">
        <v>7.5</v>
      </c>
      <c r="F39" s="19">
        <f t="shared" si="1"/>
        <v>7.3549875</v>
      </c>
      <c r="I39" s="51"/>
      <c r="J39" s="51"/>
      <c r="K39" s="51"/>
    </row>
    <row r="40" spans="1:12">
      <c r="A40" s="1"/>
      <c r="B40" s="1">
        <v>418.1</v>
      </c>
      <c r="C40" s="1">
        <v>22.6</v>
      </c>
      <c r="D40" s="19">
        <f t="shared" si="0"/>
        <v>16.517075762668213</v>
      </c>
      <c r="E40" s="19">
        <v>9.6999999999999993</v>
      </c>
      <c r="F40" s="19">
        <f t="shared" si="1"/>
        <v>9.5124504999999999</v>
      </c>
      <c r="I40" s="51"/>
      <c r="J40" s="51"/>
      <c r="K40" s="51"/>
    </row>
    <row r="41" spans="1:12">
      <c r="A41" s="1"/>
      <c r="B41" s="1">
        <v>459.35</v>
      </c>
      <c r="C41" s="1">
        <v>22.2</v>
      </c>
      <c r="D41" s="19">
        <f t="shared" si="0"/>
        <v>18.1416337959418</v>
      </c>
      <c r="E41" s="19">
        <v>12.2</v>
      </c>
      <c r="F41" s="19">
        <f t="shared" si="1"/>
        <v>11.964112999999999</v>
      </c>
      <c r="I41" s="51"/>
      <c r="J41" s="51"/>
      <c r="K41" s="51"/>
    </row>
    <row r="42" spans="1:12">
      <c r="A42" s="1"/>
      <c r="B42" s="1">
        <v>499.75</v>
      </c>
      <c r="C42" s="1">
        <v>22.1</v>
      </c>
      <c r="D42" s="19">
        <f t="shared" si="0"/>
        <v>19.747906467108848</v>
      </c>
      <c r="E42" s="19">
        <v>15</v>
      </c>
      <c r="F42" s="19">
        <f t="shared" si="1"/>
        <v>14.709975</v>
      </c>
      <c r="I42" s="51"/>
      <c r="J42" s="51"/>
      <c r="K42" s="51"/>
    </row>
    <row r="43" spans="1:12">
      <c r="A43" s="1"/>
      <c r="B43" s="1">
        <v>549.29999999999995</v>
      </c>
      <c r="C43" s="1">
        <v>22.1</v>
      </c>
      <c r="D43" s="19">
        <f t="shared" si="0"/>
        <v>21.725509628140742</v>
      </c>
      <c r="E43" s="19">
        <v>18.5</v>
      </c>
      <c r="F43" s="19">
        <f t="shared" si="1"/>
        <v>18.1423025</v>
      </c>
      <c r="I43" s="51"/>
      <c r="J43" s="51"/>
      <c r="K43" s="51"/>
    </row>
    <row r="44" spans="1:12">
      <c r="A44" s="1"/>
      <c r="B44" s="1">
        <v>620.79999999999995</v>
      </c>
      <c r="C44" s="1">
        <v>22</v>
      </c>
      <c r="D44" s="19">
        <f t="shared" si="0"/>
        <v>24.570840181803455</v>
      </c>
      <c r="E44" s="19">
        <v>24.5</v>
      </c>
      <c r="F44" s="19">
        <f t="shared" si="1"/>
        <v>24.0262925</v>
      </c>
      <c r="I44" s="51"/>
      <c r="J44" s="51"/>
      <c r="K44" s="51"/>
      <c r="L44" s="51"/>
    </row>
    <row r="45" spans="1:12">
      <c r="A45" s="1"/>
      <c r="B45" s="1">
        <v>692.2</v>
      </c>
      <c r="C45" s="1">
        <v>22.1</v>
      </c>
      <c r="D45" s="19">
        <f t="shared" si="0"/>
        <v>27.428829339774609</v>
      </c>
      <c r="E45" s="19">
        <v>30.2</v>
      </c>
      <c r="F45" s="19">
        <f t="shared" si="1"/>
        <v>29.616083</v>
      </c>
      <c r="I45" s="51"/>
      <c r="J45" s="51"/>
      <c r="K45" s="51"/>
      <c r="L45" s="51"/>
    </row>
    <row r="46" spans="1:12">
      <c r="A46" s="1" t="s">
        <v>97</v>
      </c>
      <c r="B46" s="1">
        <v>207</v>
      </c>
      <c r="C46" s="1">
        <v>22.6</v>
      </c>
      <c r="D46" s="19">
        <f t="shared" si="0"/>
        <v>8.0775397815373609</v>
      </c>
      <c r="E46" s="19">
        <v>0.13500000000000001</v>
      </c>
      <c r="F46" s="19">
        <f t="shared" si="1"/>
        <v>0.13238977500000002</v>
      </c>
      <c r="I46" s="51"/>
      <c r="J46" s="51"/>
      <c r="K46" s="51"/>
      <c r="L46" s="51"/>
    </row>
    <row r="47" spans="1:12">
      <c r="A47" s="1"/>
      <c r="B47" s="1">
        <v>296.89999999999998</v>
      </c>
      <c r="C47" s="1">
        <v>22.6</v>
      </c>
      <c r="D47" s="19">
        <f t="shared" si="0"/>
        <v>11.671638714288017</v>
      </c>
      <c r="E47" s="19">
        <v>0.27500000000000002</v>
      </c>
      <c r="F47" s="19">
        <f t="shared" si="1"/>
        <v>0.26968287500000004</v>
      </c>
      <c r="I47" s="51"/>
      <c r="J47" s="51"/>
      <c r="K47" s="51"/>
      <c r="L47" s="51"/>
    </row>
    <row r="48" spans="1:12">
      <c r="A48" s="1"/>
      <c r="B48" s="1">
        <v>357</v>
      </c>
      <c r="C48" s="1">
        <v>22.6</v>
      </c>
      <c r="D48" s="19">
        <f t="shared" si="0"/>
        <v>14.074367811710871</v>
      </c>
      <c r="E48" s="19">
        <v>0.42</v>
      </c>
      <c r="F48" s="19">
        <f t="shared" si="1"/>
        <v>0.4118793</v>
      </c>
      <c r="I48" s="51"/>
      <c r="J48" s="51"/>
      <c r="K48" s="51"/>
      <c r="L48" s="51"/>
    </row>
  </sheetData>
  <phoneticPr fontId="2" type="noConversion"/>
  <pageMargins left="0.75" right="0.75" top="1" bottom="1" header="0.5" footer="0.5"/>
  <pageSetup scale="73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50"/>
  <sheetViews>
    <sheetView topLeftCell="A3" zoomScaleNormal="100" workbookViewId="0">
      <selection activeCell="A24" sqref="A24"/>
    </sheetView>
  </sheetViews>
  <sheetFormatPr defaultRowHeight="12.75"/>
  <cols>
    <col min="1" max="1" width="10.140625" bestFit="1" customWidth="1"/>
    <col min="2" max="2" width="14.85546875" customWidth="1"/>
    <col min="3" max="4" width="9.28515625" bestFit="1" customWidth="1"/>
    <col min="5" max="5" width="10" customWidth="1"/>
    <col min="6" max="6" width="9.28515625" bestFit="1" customWidth="1"/>
    <col min="10" max="10" width="8.85546875" customWidth="1"/>
  </cols>
  <sheetData>
    <row r="1" spans="1:2">
      <c r="A1" s="4" t="s">
        <v>112</v>
      </c>
    </row>
    <row r="3" spans="1:2">
      <c r="A3" s="1" t="s">
        <v>81</v>
      </c>
      <c r="B3" s="1" t="s">
        <v>86</v>
      </c>
    </row>
    <row r="4" spans="1:2">
      <c r="A4" s="1">
        <v>10</v>
      </c>
      <c r="B4" s="1">
        <v>4.5250000000000004</v>
      </c>
    </row>
    <row r="5" spans="1:2">
      <c r="A5" s="1">
        <v>11</v>
      </c>
      <c r="B5" s="1">
        <v>4.0510000000000002</v>
      </c>
    </row>
    <row r="6" spans="1:2">
      <c r="A6" s="1">
        <v>12</v>
      </c>
      <c r="B6" s="1">
        <v>3.6219999999999999</v>
      </c>
    </row>
    <row r="7" spans="1:2">
      <c r="A7" s="1">
        <v>13</v>
      </c>
      <c r="B7" s="1">
        <v>3.3370000000000002</v>
      </c>
    </row>
    <row r="8" spans="1:2">
      <c r="A8" s="1">
        <v>14</v>
      </c>
      <c r="B8" s="1">
        <v>3.0619999999999998</v>
      </c>
    </row>
    <row r="9" spans="1:2">
      <c r="A9" s="1">
        <v>15</v>
      </c>
      <c r="B9" s="1">
        <v>2.8260000000000001</v>
      </c>
    </row>
    <row r="10" spans="1:2">
      <c r="A10" s="1">
        <v>16</v>
      </c>
      <c r="B10" s="1">
        <v>2.6219999999999999</v>
      </c>
    </row>
    <row r="11" spans="1:2">
      <c r="A11" s="1">
        <v>17</v>
      </c>
      <c r="B11" s="1">
        <v>2.444</v>
      </c>
    </row>
    <row r="12" spans="1:2">
      <c r="A12" s="1">
        <v>18</v>
      </c>
      <c r="B12" s="1">
        <v>2.2869999999999999</v>
      </c>
    </row>
    <row r="13" spans="1:2">
      <c r="A13" s="1">
        <v>19</v>
      </c>
      <c r="B13" s="1">
        <v>2.1480000000000001</v>
      </c>
    </row>
    <row r="14" spans="1:2">
      <c r="A14" s="1">
        <v>20</v>
      </c>
      <c r="B14" s="1">
        <v>2.024</v>
      </c>
    </row>
    <row r="18" spans="1:12" ht="13.5" thickBot="1"/>
    <row r="19" spans="1:12">
      <c r="A19" s="10" t="s">
        <v>111</v>
      </c>
      <c r="B19" s="11"/>
    </row>
    <row r="20" spans="1:12">
      <c r="A20" s="33" t="s">
        <v>58</v>
      </c>
      <c r="B20" s="21"/>
    </row>
    <row r="21" spans="1:12">
      <c r="A21" s="32" t="s">
        <v>90</v>
      </c>
      <c r="B21" s="21"/>
    </row>
    <row r="22" spans="1:12">
      <c r="A22" s="27" t="s">
        <v>57</v>
      </c>
      <c r="B22" s="28" t="s">
        <v>86</v>
      </c>
    </row>
    <row r="23" spans="1:12" ht="13.5" thickBot="1">
      <c r="A23" s="12">
        <v>36.700000000000003</v>
      </c>
      <c r="B23" s="13">
        <f>(64.73)*(A23)^-1.1566</f>
        <v>1.0032584749796634</v>
      </c>
    </row>
    <row r="24" spans="1:12" ht="13.5" thickBot="1"/>
    <row r="25" spans="1:12">
      <c r="A25" s="17">
        <v>39664</v>
      </c>
      <c r="B25" s="14" t="s">
        <v>91</v>
      </c>
      <c r="C25" t="s">
        <v>92</v>
      </c>
      <c r="E25" s="10" t="s">
        <v>55</v>
      </c>
      <c r="F25" s="11"/>
    </row>
    <row r="26" spans="1:12">
      <c r="A26" t="s">
        <v>22</v>
      </c>
      <c r="E26" s="20" t="s">
        <v>60</v>
      </c>
      <c r="F26" s="21"/>
    </row>
    <row r="27" spans="1:12">
      <c r="A27" t="s">
        <v>66</v>
      </c>
      <c r="E27" s="20" t="s">
        <v>62</v>
      </c>
      <c r="F27" s="21"/>
    </row>
    <row r="28" spans="1:12">
      <c r="A28" t="s">
        <v>67</v>
      </c>
      <c r="B28">
        <v>756.1</v>
      </c>
      <c r="C28" t="s">
        <v>68</v>
      </c>
      <c r="E28" s="37" t="s">
        <v>64</v>
      </c>
      <c r="F28" s="40" t="s">
        <v>95</v>
      </c>
    </row>
    <row r="29" spans="1:12" ht="13.5" thickBot="1">
      <c r="A29" t="s">
        <v>70</v>
      </c>
      <c r="B29">
        <v>22.5</v>
      </c>
      <c r="C29" t="s">
        <v>71</v>
      </c>
      <c r="E29" s="22">
        <v>11</v>
      </c>
      <c r="F29" s="23">
        <f>0.005687401*(E29)^2.1207645</f>
        <v>0.91931106469800761</v>
      </c>
    </row>
    <row r="30" spans="1:12">
      <c r="L30" s="50"/>
    </row>
    <row r="31" spans="1:12">
      <c r="B31" s="3" t="s">
        <v>72</v>
      </c>
      <c r="C31" s="3"/>
      <c r="D31" s="3"/>
      <c r="E31" s="3"/>
      <c r="F31" s="3"/>
    </row>
    <row r="32" spans="1:12">
      <c r="A32" s="3" t="s">
        <v>73</v>
      </c>
      <c r="B32" s="3" t="s">
        <v>74</v>
      </c>
      <c r="C32" s="3" t="s">
        <v>75</v>
      </c>
      <c r="D32" s="3"/>
      <c r="E32" s="3" t="s">
        <v>65</v>
      </c>
      <c r="F32" s="3" t="s">
        <v>65</v>
      </c>
    </row>
    <row r="33" spans="1:12">
      <c r="A33" s="3" t="s">
        <v>76</v>
      </c>
      <c r="B33" s="3" t="s">
        <v>77</v>
      </c>
      <c r="C33" s="3" t="s">
        <v>77</v>
      </c>
      <c r="D33" s="3" t="s">
        <v>78</v>
      </c>
      <c r="E33" s="3" t="s">
        <v>79</v>
      </c>
      <c r="F33" s="3" t="s">
        <v>79</v>
      </c>
    </row>
    <row r="34" spans="1:12">
      <c r="A34" s="3" t="s">
        <v>80</v>
      </c>
      <c r="B34" s="3" t="s">
        <v>68</v>
      </c>
      <c r="C34" s="3" t="s">
        <v>71</v>
      </c>
      <c r="D34" s="3" t="s">
        <v>81</v>
      </c>
      <c r="E34" s="3" t="s">
        <v>82</v>
      </c>
      <c r="F34" s="3" t="s">
        <v>83</v>
      </c>
    </row>
    <row r="35" spans="1:12">
      <c r="B35" s="3"/>
      <c r="C35" s="3"/>
      <c r="D35" s="54"/>
      <c r="E35" s="3"/>
      <c r="F35" s="3"/>
      <c r="I35" s="51"/>
      <c r="K35" s="51"/>
    </row>
    <row r="36" spans="1:12">
      <c r="A36" s="1" t="s">
        <v>96</v>
      </c>
      <c r="B36" s="1">
        <v>125</v>
      </c>
      <c r="C36" s="1">
        <v>21.9</v>
      </c>
      <c r="D36" s="19">
        <f>(((B36)*(0.03942404))-0.19533397)*((760/$B$28)*((273.15+C36)/293.15))</f>
        <v>4.7879145637998048</v>
      </c>
      <c r="E36" s="19">
        <v>0.17</v>
      </c>
      <c r="F36" s="19">
        <f>0.980665*E36</f>
        <v>0.16671305</v>
      </c>
      <c r="I36" s="51"/>
      <c r="J36" s="51"/>
      <c r="K36" s="51"/>
    </row>
    <row r="37" spans="1:12">
      <c r="A37" s="1"/>
      <c r="B37" s="1">
        <v>176</v>
      </c>
      <c r="C37" s="1">
        <v>21.9</v>
      </c>
      <c r="D37" s="19">
        <f t="shared" ref="D37:D50" si="0">(((B37)*(0.03942404))-0.19533397)*((760/$B$28)*((273.15+C37)/293.15))</f>
        <v>6.8220102442830362</v>
      </c>
      <c r="E37" s="19">
        <v>0.34</v>
      </c>
      <c r="F37" s="19">
        <f t="shared" ref="F37:F50" si="1">0.980665*E37</f>
        <v>0.3334261</v>
      </c>
      <c r="I37" s="51"/>
      <c r="J37" s="51"/>
      <c r="K37" s="51"/>
    </row>
    <row r="38" spans="1:12">
      <c r="A38" s="1"/>
      <c r="B38" s="1">
        <v>224.3</v>
      </c>
      <c r="C38" s="1">
        <v>22.3</v>
      </c>
      <c r="D38" s="19">
        <f t="shared" si="0"/>
        <v>8.7602787585570567</v>
      </c>
      <c r="E38" s="19">
        <v>0.56000000000000005</v>
      </c>
      <c r="F38" s="19">
        <f t="shared" si="1"/>
        <v>0.5491724</v>
      </c>
      <c r="I38" s="51"/>
      <c r="J38" s="51"/>
      <c r="K38" s="51"/>
    </row>
    <row r="39" spans="1:12">
      <c r="A39" s="1"/>
      <c r="B39" s="1">
        <v>275.89999999999998</v>
      </c>
      <c r="C39" s="1">
        <v>22.2</v>
      </c>
      <c r="D39" s="19">
        <f t="shared" si="0"/>
        <v>10.817432466763554</v>
      </c>
      <c r="E39" s="19">
        <v>0.87</v>
      </c>
      <c r="F39" s="19">
        <f t="shared" si="1"/>
        <v>0.85317854999999998</v>
      </c>
      <c r="I39" s="51"/>
      <c r="J39" s="51"/>
      <c r="K39" s="51"/>
    </row>
    <row r="40" spans="1:12">
      <c r="A40" s="1"/>
      <c r="B40" s="1">
        <v>320</v>
      </c>
      <c r="C40" s="1">
        <v>22.3</v>
      </c>
      <c r="D40" s="19">
        <f t="shared" si="0"/>
        <v>12.582374085307416</v>
      </c>
      <c r="E40" s="19">
        <v>1.1950000000000001</v>
      </c>
      <c r="F40" s="19">
        <f t="shared" si="1"/>
        <v>1.1718946750000001</v>
      </c>
      <c r="I40" s="51"/>
      <c r="J40" s="51"/>
      <c r="K40" s="51"/>
    </row>
    <row r="41" spans="1:12">
      <c r="A41" s="1"/>
      <c r="B41" s="1">
        <v>376.2</v>
      </c>
      <c r="C41" s="1">
        <v>22.2</v>
      </c>
      <c r="D41" s="19">
        <f t="shared" si="0"/>
        <v>14.821888140334433</v>
      </c>
      <c r="E41" s="19">
        <v>1.69</v>
      </c>
      <c r="F41" s="19">
        <f t="shared" si="1"/>
        <v>1.65732385</v>
      </c>
      <c r="I41" s="51"/>
      <c r="J41" s="51"/>
      <c r="K41" s="51"/>
    </row>
    <row r="42" spans="1:12">
      <c r="A42" s="1"/>
      <c r="B42" s="1">
        <v>419.6</v>
      </c>
      <c r="C42" s="1">
        <v>22.4</v>
      </c>
      <c r="D42" s="19">
        <f t="shared" si="0"/>
        <v>16.565833869483576</v>
      </c>
      <c r="E42" s="19">
        <v>2.15</v>
      </c>
      <c r="F42" s="19">
        <f t="shared" si="1"/>
        <v>2.10842975</v>
      </c>
      <c r="I42" s="51"/>
      <c r="J42" s="51"/>
      <c r="K42" s="51"/>
    </row>
    <row r="43" spans="1:12">
      <c r="A43" s="1"/>
      <c r="B43" s="1">
        <v>459.1</v>
      </c>
      <c r="C43" s="1">
        <v>22.4</v>
      </c>
      <c r="D43" s="19">
        <f t="shared" si="0"/>
        <v>18.143930678963482</v>
      </c>
      <c r="E43" s="19">
        <v>2.6</v>
      </c>
      <c r="F43" s="19">
        <f t="shared" si="1"/>
        <v>2.5497290000000001</v>
      </c>
      <c r="I43" s="51"/>
      <c r="J43" s="51"/>
      <c r="K43" s="51"/>
    </row>
    <row r="44" spans="1:12">
      <c r="A44" s="1"/>
      <c r="B44" s="1">
        <v>499.45</v>
      </c>
      <c r="C44" s="18">
        <v>22</v>
      </c>
      <c r="D44" s="19">
        <f t="shared" si="0"/>
        <v>19.729248605734075</v>
      </c>
      <c r="E44" s="19">
        <v>3.25</v>
      </c>
      <c r="F44" s="19">
        <f t="shared" si="1"/>
        <v>3.1871612499999999</v>
      </c>
      <c r="I44" s="51"/>
      <c r="J44" s="51"/>
      <c r="K44" s="51"/>
    </row>
    <row r="45" spans="1:12">
      <c r="A45" s="1"/>
      <c r="B45" s="1">
        <v>549.79999999999995</v>
      </c>
      <c r="C45" s="1">
        <v>22.1</v>
      </c>
      <c r="D45" s="19">
        <f t="shared" si="0"/>
        <v>21.745465260441769</v>
      </c>
      <c r="E45" s="19">
        <v>3.99</v>
      </c>
      <c r="F45" s="19">
        <f t="shared" si="1"/>
        <v>3.9128533500000002</v>
      </c>
      <c r="I45" s="51"/>
      <c r="J45" s="51"/>
      <c r="K45" s="51"/>
    </row>
    <row r="46" spans="1:12">
      <c r="A46" s="1"/>
      <c r="B46" s="1">
        <v>620.70000000000005</v>
      </c>
      <c r="C46" s="1">
        <v>22.2</v>
      </c>
      <c r="D46" s="19">
        <f t="shared" si="0"/>
        <v>24.583497434333236</v>
      </c>
      <c r="E46" s="19">
        <v>5.0999999999999996</v>
      </c>
      <c r="F46" s="19">
        <f t="shared" si="1"/>
        <v>5.0013914999999995</v>
      </c>
      <c r="I46" s="51"/>
      <c r="J46" s="51"/>
      <c r="K46" s="51"/>
      <c r="L46" s="51"/>
    </row>
    <row r="47" spans="1:12">
      <c r="A47" s="1"/>
      <c r="B47" s="1">
        <v>691.25</v>
      </c>
      <c r="C47" s="1">
        <v>22.2</v>
      </c>
      <c r="D47" s="19">
        <f t="shared" si="0"/>
        <v>27.400190831844956</v>
      </c>
      <c r="E47" s="19">
        <v>6.3</v>
      </c>
      <c r="F47" s="19">
        <f t="shared" si="1"/>
        <v>6.1781895000000002</v>
      </c>
      <c r="I47" s="51"/>
      <c r="J47" s="51"/>
      <c r="K47" s="51"/>
      <c r="L47" s="51"/>
    </row>
    <row r="48" spans="1:12">
      <c r="A48" s="1" t="s">
        <v>97</v>
      </c>
      <c r="B48" s="1">
        <v>205.4</v>
      </c>
      <c r="C48" s="1">
        <v>21.8</v>
      </c>
      <c r="D48" s="19">
        <f t="shared" si="0"/>
        <v>7.9918970008603489</v>
      </c>
      <c r="E48" s="19">
        <v>4.4999999999999998E-2</v>
      </c>
      <c r="F48" s="19">
        <f t="shared" si="1"/>
        <v>4.4129925E-2</v>
      </c>
      <c r="I48" s="51"/>
      <c r="J48" s="51"/>
      <c r="K48" s="51"/>
      <c r="L48" s="51"/>
    </row>
    <row r="49" spans="1:12">
      <c r="A49" s="1"/>
      <c r="B49" s="1">
        <v>300.2</v>
      </c>
      <c r="C49" s="1">
        <v>21.8</v>
      </c>
      <c r="D49" s="19">
        <f t="shared" si="0"/>
        <v>11.771640426658474</v>
      </c>
      <c r="E49" s="19">
        <v>9.5000000000000001E-2</v>
      </c>
      <c r="F49" s="19">
        <f t="shared" si="1"/>
        <v>9.3163175000000001E-2</v>
      </c>
      <c r="I49" s="51"/>
      <c r="J49" s="51"/>
      <c r="K49" s="51"/>
      <c r="L49" s="51"/>
    </row>
    <row r="50" spans="1:12">
      <c r="A50" s="1"/>
      <c r="B50" s="1">
        <v>356.3</v>
      </c>
      <c r="C50" s="1">
        <v>21.8</v>
      </c>
      <c r="D50" s="19">
        <f t="shared" si="0"/>
        <v>14.008387327368125</v>
      </c>
      <c r="E50" s="19">
        <v>0.12</v>
      </c>
      <c r="F50" s="19">
        <f t="shared" si="1"/>
        <v>0.1176798</v>
      </c>
      <c r="I50" s="51"/>
      <c r="J50" s="51"/>
      <c r="K50" s="51"/>
      <c r="L50" s="51"/>
    </row>
  </sheetData>
  <phoneticPr fontId="2" type="noConversion"/>
  <pageMargins left="0.75" right="0.75" top="1" bottom="1" header="0.5" footer="0.5"/>
  <pageSetup scale="72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2D603DEC06184A9E5BED40C5FBE01D" ma:contentTypeVersion="21" ma:contentTypeDescription="Create a new document." ma:contentTypeScope="" ma:versionID="4d7ebe5cdc0f7658bf4c5bcee38c4782">
  <xsd:schema xmlns:xsd="http://www.w3.org/2001/XMLSchema" xmlns:xs="http://www.w3.org/2001/XMLSchema" xmlns:p="http://schemas.microsoft.com/office/2006/metadata/properties" xmlns:ns2="2556e3ca-4d35-4fc8-94c7-d3335e8817cb" xmlns:ns3="319106b0-5a01-4b1b-b6c9-043b71d25f63" targetNamespace="http://schemas.microsoft.com/office/2006/metadata/properties" ma:root="true" ma:fieldsID="91bd4383135d14d1a3ae84b9bdf4fb6b" ns2:_="" ns3:_="">
    <xsd:import namespace="2556e3ca-4d35-4fc8-94c7-d3335e8817cb"/>
    <xsd:import namespace="319106b0-5a01-4b1b-b6c9-043b71d25f63"/>
    <xsd:element name="properties">
      <xsd:complexType>
        <xsd:sequence>
          <xsd:element name="documentManagement">
            <xsd:complexType>
              <xsd:all>
                <xsd:element ref="ns2:m775c3a9d7614649aa1630a3ac32562c" minOccurs="0"/>
                <xsd:element ref="ns3:TaxCatchAll" minOccurs="0"/>
                <xsd:element ref="ns2:g35327845d7542ae9be34153c0cbec92" minOccurs="0"/>
                <xsd:element ref="ns2:MediaServiceMetadata" minOccurs="0"/>
                <xsd:element ref="ns2:MediaServiceFastMetadata" minOccurs="0"/>
                <xsd:element ref="ns2:dcdb7aece57a4cb3a7e09754d7d722e2" minOccurs="0"/>
                <xsd:element ref="ns2:a4a275e66eab455da37bb87794026cab" minOccurs="0"/>
                <xsd:element ref="ns2:Language" minOccurs="0"/>
                <xsd:element ref="ns2:ResourceDescription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ta" minOccurs="0"/>
                <xsd:element ref="ns2:Classification" minOccurs="0"/>
                <xsd:element ref="ns2:Meta_x002b_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56e3ca-4d35-4fc8-94c7-d3335e8817cb" elementFormDefault="qualified">
    <xsd:import namespace="http://schemas.microsoft.com/office/2006/documentManagement/types"/>
    <xsd:import namespace="http://schemas.microsoft.com/office/infopath/2007/PartnerControls"/>
    <xsd:element name="m775c3a9d7614649aa1630a3ac32562c" ma:index="9" nillable="true" ma:taxonomy="true" ma:internalName="m775c3a9d7614649aa1630a3ac32562c" ma:taxonomyFieldName="Content_x0020_Type" ma:displayName="Content Type" ma:default="" ma:fieldId="{6775c3a9-d761-4649-aa16-30a3ac32562c}" ma:taxonomyMulti="true" ma:sspId="8efff78e-6ebe-4352-a5c3-c73ed1506925" ma:termSetId="55929ccb-7f09-4158-8ab3-de9f9fdb31a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35327845d7542ae9be34153c0cbec92" ma:index="12" nillable="true" ma:taxonomy="true" ma:internalName="g35327845d7542ae9be34153c0cbec92" ma:taxonomyFieldName="Modality" ma:displayName="Modality" ma:default="" ma:fieldId="{03532784-5d75-42ae-9be3-4153c0cbec92}" ma:taxonomyMulti="true" ma:sspId="8efff78e-6ebe-4352-a5c3-c73ed1506925" ma:termSetId="bef125a7-4cc6-4ae5-a900-5c65721f74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dcdb7aece57a4cb3a7e09754d7d722e2" ma:index="16" nillable="true" ma:taxonomy="true" ma:internalName="dcdb7aece57a4cb3a7e09754d7d722e2" ma:taxonomyFieldName="Product_x0020_Category" ma:displayName="Product Category" ma:default="" ma:fieldId="{dcdb7aec-e57a-4cb3-a7e0-9754d7d722e2}" ma:taxonomyMulti="true" ma:sspId="8efff78e-6ebe-4352-a5c3-c73ed1506925" ma:termSetId="854ff0c4-aa55-4f14-8038-6d77a459ec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a275e66eab455da37bb87794026cab" ma:index="18" nillable="true" ma:taxonomy="true" ma:internalName="a4a275e66eab455da37bb87794026cab" ma:taxonomyFieldName="Product_x0020_Type" ma:displayName="Product Type" ma:default="" ma:fieldId="{a4a275e6-6eab-455d-a37b-b87794026cab}" ma:taxonomyMulti="true" ma:sspId="8efff78e-6ebe-4352-a5c3-c73ed1506925" ma:termSetId="54d279c3-b7bc-442b-9893-ff753e6f2a3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anguage" ma:index="19" nillable="true" ma:displayName="Language" ma:internalName="Languag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French"/>
                    <xsd:enumeration value="German"/>
                    <xsd:enumeration value="Italian"/>
                    <xsd:enumeration value="English"/>
                    <xsd:enumeration value="Chinese"/>
                    <xsd:enumeration value="Spanish"/>
                  </xsd:restriction>
                </xsd:simpleType>
              </xsd:element>
            </xsd:sequence>
          </xsd:extension>
        </xsd:complexContent>
      </xsd:complexType>
    </xsd:element>
    <xsd:element name="ResourceDescription" ma:index="20" nillable="true" ma:displayName="Resource Description" ma:internalName="ResourceDescription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ta" ma:index="24" nillable="true" ma:displayName="Meta" ma:format="Dropdown" ma:internalName="Meta">
      <xsd:simpleType>
        <xsd:restriction base="dms:Note">
          <xsd:maxLength value="255"/>
        </xsd:restriction>
      </xsd:simpleType>
    </xsd:element>
    <xsd:element name="Classification" ma:index="25" nillable="true" ma:displayName="Classification" ma:format="Dropdown" ma:internalName="Classification">
      <xsd:simpleType>
        <xsd:restriction base="dms:Choice">
          <xsd:enumeration value="Public"/>
          <xsd:enumeration value="Restricted"/>
          <xsd:enumeration value="Partially-Restricted"/>
        </xsd:restriction>
      </xsd:simpleType>
    </xsd:element>
    <xsd:element name="Meta_x002b_" ma:index="26" nillable="true" ma:displayName="Meta+" ma:format="Dropdown" ma:internalName="Meta_x002b_">
      <xsd:simpleType>
        <xsd:restriction base="dms:Choice">
          <xsd:enumeration value="RC Product Brochure"/>
          <xsd:enumeration value="RC Regulatory Documents"/>
        </xsd:restriction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9106b0-5a01-4b1b-b6c9-043b71d25f6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0d58437c-b319-474e-8c2c-6e2b4bdd81fd}" ma:internalName="TaxCatchAll" ma:showField="CatchAllData" ma:web="319106b0-5a01-4b1b-b6c9-043b71d25f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4a275e66eab455da37bb87794026cab xmlns="2556e3ca-4d35-4fc8-94c7-d3335e8817cb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Continuous and Process Monitoring</TermName>
          <TermId xmlns="http://schemas.microsoft.com/office/infopath/2007/PartnerControls">d174cdc7-dc86-47a0-bfd0-56abf98154c4</TermId>
        </TermInfo>
      </Terms>
    </a4a275e66eab455da37bb87794026cab>
    <g35327845d7542ae9be34153c0cbec92 xmlns="2556e3ca-4d35-4fc8-94c7-d3335e8817cb">
      <Terms xmlns="http://schemas.microsoft.com/office/infopath/2007/PartnerControls"/>
    </g35327845d7542ae9be34153c0cbec92>
    <dcdb7aece57a4cb3a7e09754d7d722e2 xmlns="2556e3ca-4d35-4fc8-94c7-d3335e8817cb">
      <Terms xmlns="http://schemas.microsoft.com/office/infopath/2007/PartnerControls"/>
    </dcdb7aece57a4cb3a7e09754d7d722e2>
    <TaxCatchAll xmlns="319106b0-5a01-4b1b-b6c9-043b71d25f63">
      <Value>38</Value>
      <Value>17</Value>
    </TaxCatchAll>
    <m775c3a9d7614649aa1630a3ac32562c xmlns="2556e3ca-4d35-4fc8-94c7-d3335e8817cb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Product Selection Aids</TermName>
          <TermId xmlns="http://schemas.microsoft.com/office/infopath/2007/PartnerControls">e2d5de33-0bc3-4ff4-be83-782af403ca76</TermId>
        </TermInfo>
      </Terms>
    </m775c3a9d7614649aa1630a3ac32562c>
    <ResourceDescription xmlns="2556e3ca-4d35-4fc8-94c7-d3335e8817cb" xsi:nil="true"/>
    <Language xmlns="2556e3ca-4d35-4fc8-94c7-d3335e8817cb">
      <Value>English</Value>
    </Language>
    <Classification xmlns="2556e3ca-4d35-4fc8-94c7-d3335e8817cb">Public</Classification>
    <Meta xmlns="2556e3ca-4d35-4fc8-94c7-d3335e8817cb" xsi:nil="true"/>
    <Meta_x002b_ xmlns="2556e3ca-4d35-4fc8-94c7-d3335e8817c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1FB548-245E-431D-81C5-EF857A3B1D5C}"/>
</file>

<file path=customXml/itemProps2.xml><?xml version="1.0" encoding="utf-8"?>
<ds:datastoreItem xmlns:ds="http://schemas.openxmlformats.org/officeDocument/2006/customXml" ds:itemID="{863D733D-2AD4-484D-ACC7-8A82096AD427}"/>
</file>

<file path=customXml/itemProps3.xml><?xml version="1.0" encoding="utf-8"?>
<ds:datastoreItem xmlns:ds="http://schemas.openxmlformats.org/officeDocument/2006/customXml" ds:itemID="{C4A60B12-C1F0-4E9C-A85B-EA9AE53395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Cyclone Calcuator</dc:title>
  <dc:subject/>
  <dc:creator>.</dc:creator>
  <cp:keywords/>
  <dc:description/>
  <cp:lastModifiedBy>Amanda Ladas</cp:lastModifiedBy>
  <cp:revision/>
  <dcterms:created xsi:type="dcterms:W3CDTF">2004-02-08T14:59:26Z</dcterms:created>
  <dcterms:modified xsi:type="dcterms:W3CDTF">2024-04-23T15:44:39Z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0x010100422D603DEC06184A9E5BED40C5FBE01D</vt:lpwstr>
  </property>
  <property fmtid="{D5CDD505-2E9C-101B-9397-08002B2CF9AE}" pid="3" name="Modality">
    <vt:lpwstr/>
  </property>
  <property fmtid="{D5CDD505-2E9C-101B-9397-08002B2CF9AE}" pid="4" name="Content_x0020_Type">
    <vt:lpwstr/>
  </property>
  <property fmtid="{D5CDD505-2E9C-101B-9397-08002B2CF9AE}" pid="5" name="Product_x0020_Category">
    <vt:lpwstr/>
  </property>
  <property fmtid="{D5CDD505-2E9C-101B-9397-08002B2CF9AE}" pid="6" name="Product Type">
    <vt:lpwstr>17;#Continuous and Process Monitoring|d174cdc7-dc86-47a0-bfd0-56abf98154c4</vt:lpwstr>
  </property>
  <property fmtid="{D5CDD505-2E9C-101B-9397-08002B2CF9AE}" pid="7" name="Product Category">
    <vt:lpwstr/>
  </property>
  <property fmtid="{D5CDD505-2E9C-101B-9397-08002B2CF9AE}" pid="8" name="Content Type">
    <vt:lpwstr>38;#Product Selection Aids|e2d5de33-0bc3-4ff4-be83-782af403ca76</vt:lpwstr>
  </property>
</Properties>
</file>